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4000" windowHeight="9135"/>
  </bookViews>
  <sheets>
    <sheet name="FORMATO PROPUESTA ECONÓMICA" sheetId="11" r:id="rId1"/>
    <sheet name="AU" sheetId="14" state="hidden" r:id="rId2"/>
    <sheet name="APUS" sheetId="13" state="hidden" r:id="rId3"/>
    <sheet name="cronograma" sheetId="25" state="hidden" r:id="rId4"/>
    <sheet name="Equipos" sheetId="23" state="hidden" r:id="rId5"/>
    <sheet name="MACRO MEDIDOR LA LUCILA" sheetId="34" state="hidden" r:id="rId6"/>
    <sheet name="MACROMEDIDOR CASANOVA" sheetId="35" state="hidden" r:id="rId7"/>
    <sheet name="2. Presp. Sector 11 ok" sheetId="26" state="hidden" r:id="rId8"/>
    <sheet name="3. Presup Sector 14 " sheetId="27" state="hidden" r:id="rId9"/>
    <sheet name="4. Presup. Sector 9" sheetId="28" state="hidden" r:id="rId10"/>
    <sheet name="5. Presup. Sector 4" sheetId="29" state="hidden" r:id="rId11"/>
    <sheet name="6. Presup. Sector 5" sheetId="30" state="hidden" r:id="rId12"/>
    <sheet name="7. Presup. Sector 3 " sheetId="31" state="hidden" r:id="rId13"/>
    <sheet name="8. Presup. Sector 10" sheetId="32" state="hidden" r:id="rId14"/>
    <sheet name="9. Presupu. Sector 13" sheetId="33" state="hidden" r:id="rId15"/>
  </sheets>
  <externalReferences>
    <externalReference r:id="rId16"/>
    <externalReference r:id="rId17"/>
    <externalReference r:id="rId18"/>
    <externalReference r:id="rId19"/>
  </externalReferences>
  <definedNames>
    <definedName name="_xlnm._FilterDatabase" localSheetId="0" hidden="1">'FORMATO PROPUESTA ECONÓMICA'!$A$5:$F$139</definedName>
    <definedName name="_xlnm.Print_Area" localSheetId="2">APUS!$A$1:$G$3942</definedName>
    <definedName name="_xlnm.Print_Area" localSheetId="3">cronograma!$A$1:$AW$104</definedName>
    <definedName name="_xlnm.Print_Area" localSheetId="0">'FORMATO PROPUESTA ECONÓMICA'!$A$2:$F$214</definedName>
    <definedName name="_xlnm.Print_Titles" localSheetId="0">'FORMATO PROPUESTA ECONÓMICA'!$A:$C,'FORMATO PROPUESTA ECONÓMICA'!$1:$5</definedName>
  </definedNames>
  <calcPr calcId="152511"/>
</workbook>
</file>

<file path=xl/calcChain.xml><?xml version="1.0" encoding="utf-8"?>
<calcChain xmlns="http://schemas.openxmlformats.org/spreadsheetml/2006/main">
  <c r="H29" i="14" l="1"/>
  <c r="A151" i="11" l="1"/>
  <c r="A152" i="11" s="1"/>
  <c r="A153" i="11" s="1"/>
  <c r="A154" i="11" s="1"/>
  <c r="A155" i="11" s="1"/>
  <c r="A156" i="11" s="1"/>
  <c r="A157" i="11" s="1"/>
  <c r="A158" i="11" s="1"/>
  <c r="A159" i="11" s="1"/>
  <c r="G52" i="14"/>
  <c r="F138" i="11" l="1"/>
  <c r="F139" i="11"/>
  <c r="D311" i="13" l="1"/>
  <c r="H8" i="14" l="1"/>
  <c r="N25" i="33"/>
  <c r="N25" i="32"/>
  <c r="G277" i="13" l="1"/>
  <c r="E383" i="13" l="1"/>
  <c r="N25" i="27"/>
  <c r="E452" i="13"/>
  <c r="E567" i="13" l="1"/>
  <c r="G567" i="13" s="1"/>
  <c r="E568" i="13"/>
  <c r="D568" i="13"/>
  <c r="G568" i="13" s="1"/>
  <c r="D332" i="13"/>
  <c r="C582" i="13"/>
  <c r="D56" i="13"/>
  <c r="G57" i="13"/>
  <c r="G22" i="13"/>
  <c r="F57" i="13"/>
  <c r="D22" i="13"/>
  <c r="F22" i="13"/>
  <c r="G73" i="13" l="1"/>
  <c r="O113" i="30" l="1"/>
  <c r="O114" i="30"/>
  <c r="G1895" i="13"/>
  <c r="A1895" i="13"/>
  <c r="B1895" i="13"/>
  <c r="G1850" i="13"/>
  <c r="A1850" i="13"/>
  <c r="B1850" i="13"/>
  <c r="G1805" i="13"/>
  <c r="A1805" i="13"/>
  <c r="B1805" i="13"/>
  <c r="G1759" i="13"/>
  <c r="A1759" i="13"/>
  <c r="B1759" i="13"/>
  <c r="G1714" i="13"/>
  <c r="A1714" i="13"/>
  <c r="B1714" i="13"/>
  <c r="G1669" i="13"/>
  <c r="A1669" i="13"/>
  <c r="B1669" i="13"/>
  <c r="G1624" i="13"/>
  <c r="A1624" i="13"/>
  <c r="B1624" i="13"/>
  <c r="G1578" i="13"/>
  <c r="A1578" i="13"/>
  <c r="B1578" i="13"/>
  <c r="G1533" i="13"/>
  <c r="A1533" i="13"/>
  <c r="B1533" i="13"/>
  <c r="G1488" i="13"/>
  <c r="A1488" i="13"/>
  <c r="B1488" i="13"/>
  <c r="G1442" i="13"/>
  <c r="A1442" i="13"/>
  <c r="B1442" i="13"/>
  <c r="G1397" i="13"/>
  <c r="A1397" i="13"/>
  <c r="B1397" i="13"/>
  <c r="G1351" i="13"/>
  <c r="A1351" i="13"/>
  <c r="B1351" i="13"/>
  <c r="G1306" i="13"/>
  <c r="A1306" i="13"/>
  <c r="B1306" i="13"/>
  <c r="G1261" i="13"/>
  <c r="A1261" i="13"/>
  <c r="B1261" i="13"/>
  <c r="G1216" i="13"/>
  <c r="A1216" i="13"/>
  <c r="B1216" i="13"/>
  <c r="G1171" i="13"/>
  <c r="A1171" i="13"/>
  <c r="B1171" i="13"/>
  <c r="A1079" i="13"/>
  <c r="B1079" i="13"/>
  <c r="G1034" i="13"/>
  <c r="A1034" i="13"/>
  <c r="B1034" i="13"/>
  <c r="G989" i="13"/>
  <c r="A989" i="13"/>
  <c r="B989" i="13"/>
  <c r="G943" i="13"/>
  <c r="A943" i="13"/>
  <c r="B943" i="13"/>
  <c r="G898" i="13"/>
  <c r="A898" i="13"/>
  <c r="B898" i="13"/>
  <c r="G852" i="13"/>
  <c r="A852" i="13"/>
  <c r="B852" i="13"/>
  <c r="G807" i="13"/>
  <c r="A807" i="13"/>
  <c r="B807" i="13"/>
  <c r="G763" i="13"/>
  <c r="A763" i="13"/>
  <c r="B763" i="13"/>
  <c r="G720" i="13"/>
  <c r="A720" i="13"/>
  <c r="B720" i="13"/>
  <c r="G675" i="13"/>
  <c r="A675" i="13"/>
  <c r="B675" i="13"/>
  <c r="G630" i="13"/>
  <c r="A630" i="13"/>
  <c r="B630" i="13"/>
  <c r="G596" i="13"/>
  <c r="A596" i="13"/>
  <c r="B596" i="13"/>
  <c r="G562" i="13"/>
  <c r="A562" i="13"/>
  <c r="B562" i="13"/>
  <c r="G529" i="13"/>
  <c r="A529" i="13"/>
  <c r="B529" i="13"/>
  <c r="G495" i="13"/>
  <c r="B495" i="13"/>
  <c r="A495" i="13"/>
  <c r="G460" i="13"/>
  <c r="A460" i="13"/>
  <c r="B460" i="13"/>
  <c r="G426" i="13"/>
  <c r="A426" i="13"/>
  <c r="B426" i="13"/>
  <c r="G391" i="13"/>
  <c r="B391" i="13"/>
  <c r="A391" i="13"/>
  <c r="G355" i="13"/>
  <c r="G319" i="13"/>
  <c r="B319" i="13"/>
  <c r="A319" i="13"/>
  <c r="G284" i="13"/>
  <c r="B284" i="13"/>
  <c r="A284" i="13"/>
  <c r="G250" i="13"/>
  <c r="A250" i="13"/>
  <c r="B250" i="13"/>
  <c r="G216" i="13"/>
  <c r="A216" i="13"/>
  <c r="B216" i="13"/>
  <c r="G182" i="13"/>
  <c r="A182" i="13"/>
  <c r="G148" i="13"/>
  <c r="A148" i="13"/>
  <c r="B148" i="13"/>
  <c r="G112" i="13"/>
  <c r="A112" i="13"/>
  <c r="B112" i="13"/>
  <c r="G78" i="13"/>
  <c r="B78" i="13"/>
  <c r="A78" i="13"/>
  <c r="A43" i="13"/>
  <c r="B43" i="13"/>
  <c r="G8" i="13"/>
  <c r="B8" i="13"/>
  <c r="A8" i="13"/>
  <c r="G3898" i="13"/>
  <c r="A3898" i="13"/>
  <c r="B3898" i="13"/>
  <c r="G3850" i="13"/>
  <c r="A3850" i="13"/>
  <c r="B3850" i="13"/>
  <c r="F45" i="14"/>
  <c r="F41" i="14"/>
  <c r="A3766" i="13" l="1"/>
  <c r="G3766" i="13"/>
  <c r="B3766" i="13"/>
  <c r="G3670" i="13"/>
  <c r="A3670" i="13"/>
  <c r="B3670" i="13"/>
  <c r="G3623" i="13"/>
  <c r="A3623" i="13"/>
  <c r="B3623" i="13"/>
  <c r="G3578" i="13"/>
  <c r="A3578" i="13"/>
  <c r="B3578" i="13"/>
  <c r="G3531" i="13"/>
  <c r="A3531" i="13"/>
  <c r="B3531" i="13"/>
  <c r="G3486" i="13"/>
  <c r="A3486" i="13"/>
  <c r="B3486" i="13"/>
  <c r="G3250" i="13"/>
  <c r="A3250" i="13"/>
  <c r="B3250" i="13"/>
  <c r="G3204" i="13"/>
  <c r="A3204" i="13"/>
  <c r="B3204" i="13"/>
  <c r="G3159" i="13"/>
  <c r="A3159" i="13"/>
  <c r="B3159" i="13"/>
  <c r="G3114" i="13"/>
  <c r="A3114" i="13"/>
  <c r="B3114" i="13"/>
  <c r="G3069" i="13"/>
  <c r="A3069" i="13"/>
  <c r="B3069" i="13"/>
  <c r="G3023" i="13"/>
  <c r="B3023" i="13"/>
  <c r="A3023" i="13"/>
  <c r="G2978" i="13"/>
  <c r="A2978" i="13"/>
  <c r="B2978" i="13"/>
  <c r="G2933" i="13"/>
  <c r="A2933" i="13"/>
  <c r="B2933" i="13"/>
  <c r="G2888" i="13"/>
  <c r="A2888" i="13"/>
  <c r="B2888" i="13"/>
  <c r="G2843" i="13"/>
  <c r="A2843" i="13"/>
  <c r="B2843" i="13"/>
  <c r="G2798" i="13"/>
  <c r="A2798" i="13"/>
  <c r="B2798" i="13"/>
  <c r="A2753" i="13"/>
  <c r="G2753" i="13"/>
  <c r="B2753" i="13"/>
  <c r="G2708" i="13"/>
  <c r="A2708" i="13"/>
  <c r="B2708" i="13"/>
  <c r="G2663" i="13"/>
  <c r="A2663" i="13"/>
  <c r="B2663" i="13"/>
  <c r="G2618" i="13"/>
  <c r="A2618" i="13"/>
  <c r="B2618" i="13"/>
  <c r="G2573" i="13"/>
  <c r="A2573" i="13"/>
  <c r="B2573" i="13"/>
  <c r="G2528" i="13"/>
  <c r="A2528" i="13"/>
  <c r="B2528" i="13"/>
  <c r="G2483" i="13"/>
  <c r="A2483" i="13"/>
  <c r="B2483" i="13"/>
  <c r="G2438" i="13"/>
  <c r="A2438" i="13"/>
  <c r="B2438" i="13"/>
  <c r="G2392" i="13"/>
  <c r="A2392" i="13"/>
  <c r="B2392" i="13"/>
  <c r="G2347" i="13"/>
  <c r="A2347" i="13"/>
  <c r="B2347" i="13"/>
  <c r="G2301" i="13"/>
  <c r="A2301" i="13"/>
  <c r="B2301" i="13"/>
  <c r="G2257" i="13"/>
  <c r="A2257" i="13"/>
  <c r="B2257" i="13"/>
  <c r="G2210" i="13"/>
  <c r="A2210" i="13"/>
  <c r="B2210" i="13"/>
  <c r="G2165" i="13"/>
  <c r="A2165" i="13"/>
  <c r="B2165" i="13"/>
  <c r="G2120" i="13"/>
  <c r="A2120" i="13"/>
  <c r="B2120" i="13"/>
  <c r="G2075" i="13"/>
  <c r="B2075" i="13"/>
  <c r="A2075" i="13"/>
  <c r="G2030" i="13"/>
  <c r="B2030" i="13"/>
  <c r="A2030" i="13"/>
  <c r="G1985" i="13"/>
  <c r="B1985" i="13"/>
  <c r="A1985" i="13"/>
  <c r="G1940" i="13"/>
  <c r="A1940" i="13"/>
  <c r="B1940" i="13"/>
  <c r="N104" i="29"/>
  <c r="H25" i="26"/>
  <c r="N25" i="28"/>
  <c r="N25" i="31"/>
  <c r="D3400" i="13"/>
  <c r="C3400" i="13"/>
  <c r="C3399" i="13"/>
  <c r="C3398" i="13"/>
  <c r="C3395" i="13"/>
  <c r="C3396" i="13"/>
  <c r="C3397" i="13"/>
  <c r="C3394" i="13"/>
  <c r="E3400" i="13"/>
  <c r="E3399" i="13"/>
  <c r="E3398" i="13"/>
  <c r="E3395" i="13"/>
  <c r="E3396" i="13"/>
  <c r="E3397" i="13"/>
  <c r="E3394" i="13"/>
  <c r="G3401" i="13"/>
  <c r="G3402" i="13"/>
  <c r="G3403" i="13"/>
  <c r="G3404" i="13"/>
  <c r="D3399" i="13"/>
  <c r="D3396" i="13"/>
  <c r="D3397" i="13"/>
  <c r="D3398" i="13"/>
  <c r="D3394" i="13"/>
  <c r="A3400" i="13"/>
  <c r="A3399" i="13"/>
  <c r="A3395" i="13"/>
  <c r="A3396" i="13"/>
  <c r="A3397" i="13"/>
  <c r="A3398" i="13"/>
  <c r="A3394" i="13"/>
  <c r="C3354" i="13"/>
  <c r="C3355" i="13"/>
  <c r="C3356" i="13"/>
  <c r="C3353" i="13"/>
  <c r="C3352" i="13"/>
  <c r="E3355" i="13"/>
  <c r="E3356" i="13"/>
  <c r="E3354" i="13"/>
  <c r="E3353" i="13"/>
  <c r="E3352" i="13"/>
  <c r="D3354" i="13"/>
  <c r="D3355" i="13"/>
  <c r="D3356" i="13"/>
  <c r="D3353" i="13"/>
  <c r="D3352" i="13"/>
  <c r="A3354" i="13"/>
  <c r="A3355" i="13"/>
  <c r="A3356" i="13"/>
  <c r="A3353" i="13"/>
  <c r="A3352" i="13"/>
  <c r="E3348" i="13"/>
  <c r="E3349" i="13"/>
  <c r="E3350" i="13"/>
  <c r="E3351" i="13"/>
  <c r="E3347" i="13"/>
  <c r="D3349" i="13"/>
  <c r="D3350" i="13"/>
  <c r="D3351" i="13"/>
  <c r="D3347" i="13"/>
  <c r="C3350" i="13"/>
  <c r="C3351" i="13"/>
  <c r="C3348" i="13"/>
  <c r="C3349" i="13"/>
  <c r="C3347" i="13"/>
  <c r="A3351" i="13"/>
  <c r="A3348" i="13"/>
  <c r="A3349" i="13"/>
  <c r="A3350" i="13"/>
  <c r="A3347" i="13"/>
  <c r="G11" i="35"/>
  <c r="A11" i="35"/>
  <c r="G10" i="35"/>
  <c r="G8" i="35"/>
  <c r="G7" i="35"/>
  <c r="G6" i="35"/>
  <c r="F5" i="35"/>
  <c r="G5" i="35" s="1"/>
  <c r="A5" i="35"/>
  <c r="A6" i="35" s="1"/>
  <c r="A7" i="35" s="1"/>
  <c r="A8" i="35" s="1"/>
  <c r="G4" i="35"/>
  <c r="G15" i="34"/>
  <c r="G14" i="34"/>
  <c r="G13" i="34"/>
  <c r="A13" i="34"/>
  <c r="A14" i="34" s="1"/>
  <c r="A15" i="34" s="1"/>
  <c r="G12" i="34"/>
  <c r="G10" i="34"/>
  <c r="G8" i="34"/>
  <c r="G7" i="34"/>
  <c r="G6" i="34"/>
  <c r="F5" i="34"/>
  <c r="G5" i="34" s="1"/>
  <c r="A5" i="34"/>
  <c r="A6" i="34" s="1"/>
  <c r="A7" i="34" s="1"/>
  <c r="A8" i="34" s="1"/>
  <c r="G4" i="34"/>
  <c r="G12" i="35" l="1"/>
  <c r="D3348" i="13"/>
  <c r="D3395" i="13"/>
  <c r="G3352" i="13"/>
  <c r="G3350" i="13"/>
  <c r="G3353" i="13"/>
  <c r="G3351" i="13"/>
  <c r="G16" i="34"/>
  <c r="G3435" i="13" l="1"/>
  <c r="A3435" i="13"/>
  <c r="B3435" i="13"/>
  <c r="H17" i="26" l="1"/>
  <c r="N110" i="30"/>
  <c r="N110" i="29"/>
  <c r="N114" i="29"/>
  <c r="G3780" i="13" l="1"/>
  <c r="G3779" i="13"/>
  <c r="G3778" i="13"/>
  <c r="G3793" i="13"/>
  <c r="H152" i="26" l="1"/>
  <c r="H155" i="26"/>
  <c r="H154" i="26"/>
  <c r="J154" i="26" s="1"/>
  <c r="G154" i="26"/>
  <c r="E154" i="26"/>
  <c r="E153" i="29"/>
  <c r="E154" i="29"/>
  <c r="E153" i="28"/>
  <c r="E154" i="28"/>
  <c r="J154" i="27"/>
  <c r="G154" i="27"/>
  <c r="C154" i="27"/>
  <c r="E154" i="27"/>
  <c r="C154" i="28"/>
  <c r="N72" i="31"/>
  <c r="N152" i="31" s="1"/>
  <c r="N72" i="33"/>
  <c r="N154" i="33" s="1"/>
  <c r="P154" i="33" s="1"/>
  <c r="N72" i="32"/>
  <c r="N152" i="32" s="1"/>
  <c r="N154" i="31"/>
  <c r="N72" i="30"/>
  <c r="N153" i="30" s="1"/>
  <c r="N72" i="29"/>
  <c r="N152" i="29" s="1"/>
  <c r="N153" i="29"/>
  <c r="G153" i="29"/>
  <c r="G154" i="29"/>
  <c r="G153" i="30"/>
  <c r="G153" i="31"/>
  <c r="G154" i="31"/>
  <c r="E153" i="31"/>
  <c r="E153" i="32" s="1"/>
  <c r="G153" i="32"/>
  <c r="G154" i="32"/>
  <c r="C153" i="32"/>
  <c r="C154" i="32"/>
  <c r="C153" i="33"/>
  <c r="C154" i="33"/>
  <c r="E153" i="33"/>
  <c r="E154" i="33"/>
  <c r="E155" i="33"/>
  <c r="E156" i="33"/>
  <c r="E157" i="33"/>
  <c r="E158" i="33"/>
  <c r="E159" i="33"/>
  <c r="N150" i="33"/>
  <c r="N151" i="33"/>
  <c r="N153" i="33"/>
  <c r="P153" i="33" s="1"/>
  <c r="N154" i="32" l="1"/>
  <c r="N152" i="30"/>
  <c r="N154" i="29"/>
  <c r="P154" i="29" s="1"/>
  <c r="N152" i="33"/>
  <c r="P154" i="32"/>
  <c r="P154" i="31"/>
  <c r="P153" i="30"/>
  <c r="N17" i="33" l="1"/>
  <c r="N13" i="29"/>
  <c r="N12" i="29"/>
  <c r="F39" i="14"/>
  <c r="F40" i="14"/>
  <c r="N24" i="32"/>
  <c r="N25" i="30"/>
  <c r="N23" i="31"/>
  <c r="E106" i="33"/>
  <c r="E107" i="33"/>
  <c r="E107" i="29"/>
  <c r="E107" i="30" s="1"/>
  <c r="E107" i="31" s="1"/>
  <c r="E106" i="28"/>
  <c r="E107" i="28"/>
  <c r="E106" i="27"/>
  <c r="E107" i="27"/>
  <c r="E106" i="26"/>
  <c r="E107" i="26"/>
  <c r="D3723" i="13"/>
  <c r="G3723" i="13" s="1"/>
  <c r="D3746" i="13"/>
  <c r="D3745" i="13"/>
  <c r="C3746" i="13"/>
  <c r="G3718" i="13"/>
  <c r="A3718" i="13"/>
  <c r="B3718" i="13"/>
  <c r="G3754" i="13"/>
  <c r="G3760" i="13" s="1"/>
  <c r="G3736" i="13"/>
  <c r="G3728" i="13"/>
  <c r="G3727" i="13"/>
  <c r="G3726" i="13"/>
  <c r="G3724" i="13"/>
  <c r="E3746" i="13" l="1"/>
  <c r="G3746" i="13" s="1"/>
  <c r="G3730" i="13"/>
  <c r="F2472" i="13" l="1"/>
  <c r="D2444" i="13"/>
  <c r="G3296" i="13"/>
  <c r="A3296" i="13"/>
  <c r="B3296" i="13"/>
  <c r="C99" i="33"/>
  <c r="C98" i="33"/>
  <c r="C101" i="33"/>
  <c r="E12" i="29"/>
  <c r="E12" i="30" s="1"/>
  <c r="E12" i="31" s="1"/>
  <c r="E12" i="32" s="1"/>
  <c r="E13" i="29"/>
  <c r="E13" i="30" s="1"/>
  <c r="E13" i="31" s="1"/>
  <c r="E13" i="32" s="1"/>
  <c r="E14" i="29"/>
  <c r="E14" i="30" s="1"/>
  <c r="E14" i="31" s="1"/>
  <c r="E14" i="32" s="1"/>
  <c r="E15" i="29"/>
  <c r="E15" i="30" s="1"/>
  <c r="E15" i="31" s="1"/>
  <c r="E15" i="32" s="1"/>
  <c r="E16" i="29"/>
  <c r="E16" i="30" s="1"/>
  <c r="E16" i="31" s="1"/>
  <c r="E16" i="32" s="1"/>
  <c r="E17" i="29"/>
  <c r="E17" i="30" s="1"/>
  <c r="E17" i="31" s="1"/>
  <c r="E17" i="32" s="1"/>
  <c r="E18" i="29"/>
  <c r="E18" i="30" s="1"/>
  <c r="E18" i="31" s="1"/>
  <c r="E18" i="32" s="1"/>
  <c r="E19" i="29"/>
  <c r="E19" i="30" s="1"/>
  <c r="E19" i="31" s="1"/>
  <c r="E19" i="32" s="1"/>
  <c r="E20" i="29"/>
  <c r="E20" i="30" s="1"/>
  <c r="E20" i="31" s="1"/>
  <c r="E20" i="32" s="1"/>
  <c r="E21" i="29"/>
  <c r="E21" i="30" s="1"/>
  <c r="E21" i="31" s="1"/>
  <c r="E21" i="32" s="1"/>
  <c r="E22" i="29"/>
  <c r="E22" i="30" s="1"/>
  <c r="E22" i="31" s="1"/>
  <c r="E22" i="32" s="1"/>
  <c r="E23" i="29"/>
  <c r="E23" i="30" s="1"/>
  <c r="E23" i="31" s="1"/>
  <c r="E23" i="32" s="1"/>
  <c r="E24" i="29"/>
  <c r="E24" i="30" s="1"/>
  <c r="E24" i="31" s="1"/>
  <c r="E24" i="32" s="1"/>
  <c r="E25" i="29"/>
  <c r="E25" i="30" s="1"/>
  <c r="E25" i="31" s="1"/>
  <c r="E25" i="32" s="1"/>
  <c r="E26" i="29"/>
  <c r="E26" i="30" s="1"/>
  <c r="E26" i="31" s="1"/>
  <c r="E26" i="32" s="1"/>
  <c r="E27" i="29"/>
  <c r="E27" i="30" s="1"/>
  <c r="E27" i="31" s="1"/>
  <c r="E27" i="32" s="1"/>
  <c r="E28" i="29"/>
  <c r="E28" i="30" s="1"/>
  <c r="E28" i="31" s="1"/>
  <c r="E28" i="32" s="1"/>
  <c r="E29" i="29"/>
  <c r="E29" i="30" s="1"/>
  <c r="E29" i="31" s="1"/>
  <c r="E29" i="32" s="1"/>
  <c r="E30" i="29"/>
  <c r="E30" i="30" s="1"/>
  <c r="E30" i="31" s="1"/>
  <c r="E30" i="32" s="1"/>
  <c r="E31" i="29"/>
  <c r="E31" i="30" s="1"/>
  <c r="E31" i="31" s="1"/>
  <c r="E31" i="32" s="1"/>
  <c r="E32" i="29"/>
  <c r="E32" i="30" s="1"/>
  <c r="E32" i="31" s="1"/>
  <c r="E32" i="32" s="1"/>
  <c r="E33" i="29"/>
  <c r="E33" i="30" s="1"/>
  <c r="E33" i="31" s="1"/>
  <c r="E33" i="32" s="1"/>
  <c r="E35" i="29"/>
  <c r="E35" i="30" s="1"/>
  <c r="E35" i="31" s="1"/>
  <c r="E35" i="32" s="1"/>
  <c r="E36" i="29"/>
  <c r="E36" i="30" s="1"/>
  <c r="E36" i="31" s="1"/>
  <c r="E36" i="32" s="1"/>
  <c r="E37" i="29"/>
  <c r="E37" i="30" s="1"/>
  <c r="E37" i="31" s="1"/>
  <c r="E37" i="32" s="1"/>
  <c r="E38" i="29"/>
  <c r="E38" i="30" s="1"/>
  <c r="E38" i="31" s="1"/>
  <c r="E38" i="32" s="1"/>
  <c r="E39" i="29"/>
  <c r="E39" i="30" s="1"/>
  <c r="E39" i="31" s="1"/>
  <c r="E39" i="32" s="1"/>
  <c r="E40" i="29"/>
  <c r="E40" i="30" s="1"/>
  <c r="E40" i="31" s="1"/>
  <c r="E40" i="32" s="1"/>
  <c r="E41" i="29"/>
  <c r="E41" i="30" s="1"/>
  <c r="E41" i="31" s="1"/>
  <c r="E41" i="32" s="1"/>
  <c r="E42" i="29"/>
  <c r="E42" i="30" s="1"/>
  <c r="E42" i="31" s="1"/>
  <c r="E42" i="32" s="1"/>
  <c r="E43" i="29"/>
  <c r="E43" i="30" s="1"/>
  <c r="E43" i="31" s="1"/>
  <c r="E43" i="32" s="1"/>
  <c r="E44" i="29"/>
  <c r="E44" i="30" s="1"/>
  <c r="E44" i="31" s="1"/>
  <c r="E44" i="32" s="1"/>
  <c r="E45" i="29"/>
  <c r="E45" i="30" s="1"/>
  <c r="E45" i="31" s="1"/>
  <c r="E45" i="32" s="1"/>
  <c r="E46" i="29"/>
  <c r="E46" i="30" s="1"/>
  <c r="E46" i="31" s="1"/>
  <c r="E46" i="32" s="1"/>
  <c r="E47" i="29"/>
  <c r="E47" i="30" s="1"/>
  <c r="E47" i="31" s="1"/>
  <c r="E47" i="32" s="1"/>
  <c r="E48" i="29"/>
  <c r="E48" i="30" s="1"/>
  <c r="E48" i="31" s="1"/>
  <c r="E48" i="32" s="1"/>
  <c r="E49" i="29"/>
  <c r="E49" i="30" s="1"/>
  <c r="E49" i="31" s="1"/>
  <c r="E49" i="32" s="1"/>
  <c r="E50" i="29"/>
  <c r="E50" i="30" s="1"/>
  <c r="E50" i="31" s="1"/>
  <c r="E50" i="32" s="1"/>
  <c r="E51" i="29"/>
  <c r="E51" i="30" s="1"/>
  <c r="E51" i="31" s="1"/>
  <c r="E51" i="32" s="1"/>
  <c r="E52" i="29"/>
  <c r="E52" i="30" s="1"/>
  <c r="E52" i="31" s="1"/>
  <c r="E52" i="32" s="1"/>
  <c r="E53" i="29"/>
  <c r="E53" i="30" s="1"/>
  <c r="E53" i="31" s="1"/>
  <c r="E53" i="32" s="1"/>
  <c r="E54" i="29"/>
  <c r="E54" i="30" s="1"/>
  <c r="E54" i="31" s="1"/>
  <c r="E54" i="32" s="1"/>
  <c r="E55" i="29"/>
  <c r="E55" i="30" s="1"/>
  <c r="E55" i="31" s="1"/>
  <c r="E55" i="32" s="1"/>
  <c r="E56" i="29"/>
  <c r="E56" i="30" s="1"/>
  <c r="E56" i="31" s="1"/>
  <c r="E56" i="32" s="1"/>
  <c r="E57" i="29"/>
  <c r="E57" i="30" s="1"/>
  <c r="E57" i="31" s="1"/>
  <c r="E57" i="32" s="1"/>
  <c r="E58" i="29"/>
  <c r="E58" i="30" s="1"/>
  <c r="E58" i="31" s="1"/>
  <c r="E58" i="32" s="1"/>
  <c r="E59" i="29"/>
  <c r="E59" i="30" s="1"/>
  <c r="E59" i="31" s="1"/>
  <c r="E59" i="32" s="1"/>
  <c r="E60" i="29"/>
  <c r="E60" i="30" s="1"/>
  <c r="E60" i="31" s="1"/>
  <c r="E60" i="32" s="1"/>
  <c r="E61" i="29"/>
  <c r="E61" i="30" s="1"/>
  <c r="E61" i="31" s="1"/>
  <c r="E61" i="32" s="1"/>
  <c r="E62" i="29"/>
  <c r="E62" i="30" s="1"/>
  <c r="E62" i="31" s="1"/>
  <c r="E62" i="32" s="1"/>
  <c r="E63" i="29"/>
  <c r="E63" i="30" s="1"/>
  <c r="E63" i="31" s="1"/>
  <c r="E63" i="32" s="1"/>
  <c r="E64" i="29"/>
  <c r="E64" i="30" s="1"/>
  <c r="E64" i="31" s="1"/>
  <c r="E64" i="32" s="1"/>
  <c r="E65" i="29"/>
  <c r="E65" i="30" s="1"/>
  <c r="E65" i="31" s="1"/>
  <c r="E65" i="32" s="1"/>
  <c r="E66" i="29"/>
  <c r="E66" i="30" s="1"/>
  <c r="E66" i="31" s="1"/>
  <c r="E66" i="32" s="1"/>
  <c r="E67" i="29"/>
  <c r="E67" i="30" s="1"/>
  <c r="E67" i="31" s="1"/>
  <c r="E67" i="32" s="1"/>
  <c r="E68" i="29"/>
  <c r="E68" i="30" s="1"/>
  <c r="E68" i="31" s="1"/>
  <c r="E68" i="32" s="1"/>
  <c r="E69" i="29"/>
  <c r="E69" i="30" s="1"/>
  <c r="E69" i="31" s="1"/>
  <c r="E69" i="32" s="1"/>
  <c r="E70" i="29"/>
  <c r="E70" i="30" s="1"/>
  <c r="E70" i="31" s="1"/>
  <c r="E70" i="32" s="1"/>
  <c r="E71" i="29"/>
  <c r="E71" i="30" s="1"/>
  <c r="E71" i="31" s="1"/>
  <c r="E71" i="32" s="1"/>
  <c r="E72" i="29"/>
  <c r="E72" i="30" s="1"/>
  <c r="E72" i="31" s="1"/>
  <c r="E72" i="32" s="1"/>
  <c r="E73" i="29"/>
  <c r="E73" i="30" s="1"/>
  <c r="E73" i="31" s="1"/>
  <c r="E73" i="32" s="1"/>
  <c r="E74" i="29"/>
  <c r="E74" i="30" s="1"/>
  <c r="E74" i="31" s="1"/>
  <c r="E74" i="32" s="1"/>
  <c r="E75" i="29"/>
  <c r="E75" i="30" s="1"/>
  <c r="E75" i="31" s="1"/>
  <c r="E75" i="32" s="1"/>
  <c r="E76" i="29"/>
  <c r="E76" i="30" s="1"/>
  <c r="E76" i="31" s="1"/>
  <c r="E76" i="32" s="1"/>
  <c r="E77" i="29"/>
  <c r="E77" i="30" s="1"/>
  <c r="E77" i="31" s="1"/>
  <c r="E77" i="32" s="1"/>
  <c r="E78" i="29"/>
  <c r="E78" i="30" s="1"/>
  <c r="E78" i="31" s="1"/>
  <c r="E78" i="32" s="1"/>
  <c r="E79" i="29"/>
  <c r="E79" i="30" s="1"/>
  <c r="E79" i="31" s="1"/>
  <c r="E79" i="32" s="1"/>
  <c r="E80" i="29"/>
  <c r="E80" i="30" s="1"/>
  <c r="E80" i="31" s="1"/>
  <c r="E80" i="32" s="1"/>
  <c r="E81" i="29"/>
  <c r="E81" i="30" s="1"/>
  <c r="E81" i="31" s="1"/>
  <c r="E81" i="32" s="1"/>
  <c r="E82" i="29"/>
  <c r="E82" i="30" s="1"/>
  <c r="E82" i="31" s="1"/>
  <c r="E82" i="32" s="1"/>
  <c r="E83" i="29"/>
  <c r="E83" i="30" s="1"/>
  <c r="E83" i="31" s="1"/>
  <c r="E83" i="32" s="1"/>
  <c r="E84" i="29"/>
  <c r="E84" i="30" s="1"/>
  <c r="E84" i="31" s="1"/>
  <c r="E84" i="32" s="1"/>
  <c r="E85" i="29"/>
  <c r="E85" i="30" s="1"/>
  <c r="E85" i="31" s="1"/>
  <c r="E85" i="32" s="1"/>
  <c r="E86" i="29"/>
  <c r="E86" i="30" s="1"/>
  <c r="E86" i="31" s="1"/>
  <c r="E86" i="32" s="1"/>
  <c r="E87" i="29"/>
  <c r="E87" i="30" s="1"/>
  <c r="E87" i="31" s="1"/>
  <c r="E87" i="32" s="1"/>
  <c r="E88" i="29"/>
  <c r="E88" i="30" s="1"/>
  <c r="E88" i="31" s="1"/>
  <c r="E88" i="32" s="1"/>
  <c r="E89" i="29"/>
  <c r="E89" i="30" s="1"/>
  <c r="E89" i="31" s="1"/>
  <c r="E89" i="32" s="1"/>
  <c r="E90" i="29"/>
  <c r="E90" i="30" s="1"/>
  <c r="E90" i="31" s="1"/>
  <c r="E90" i="32" s="1"/>
  <c r="E91" i="29"/>
  <c r="E91" i="30" s="1"/>
  <c r="E91" i="31" s="1"/>
  <c r="E91" i="32" s="1"/>
  <c r="E92" i="29"/>
  <c r="E92" i="30" s="1"/>
  <c r="E92" i="31" s="1"/>
  <c r="E92" i="32" s="1"/>
  <c r="E93" i="29"/>
  <c r="E93" i="30" s="1"/>
  <c r="E93" i="31" s="1"/>
  <c r="E93" i="32" s="1"/>
  <c r="E94" i="29"/>
  <c r="E94" i="30" s="1"/>
  <c r="E94" i="31" s="1"/>
  <c r="E94" i="32" s="1"/>
  <c r="E95" i="29"/>
  <c r="E95" i="30" s="1"/>
  <c r="E95" i="31" s="1"/>
  <c r="E95" i="32" s="1"/>
  <c r="E96" i="29"/>
  <c r="E96" i="30" s="1"/>
  <c r="E96" i="31" s="1"/>
  <c r="E96" i="32" s="1"/>
  <c r="E97" i="29"/>
  <c r="E97" i="30" s="1"/>
  <c r="E97" i="31" s="1"/>
  <c r="E97" i="32" s="1"/>
  <c r="E98" i="29"/>
  <c r="E98" i="30" s="1"/>
  <c r="E98" i="31" s="1"/>
  <c r="E98" i="32" s="1"/>
  <c r="E99" i="29"/>
  <c r="E99" i="30" s="1"/>
  <c r="E99" i="31" s="1"/>
  <c r="E99" i="32" s="1"/>
  <c r="E100" i="29"/>
  <c r="E100" i="30" s="1"/>
  <c r="E100" i="31" s="1"/>
  <c r="E100" i="32" s="1"/>
  <c r="E101" i="29"/>
  <c r="E101" i="30" s="1"/>
  <c r="E101" i="31" s="1"/>
  <c r="E101" i="32" s="1"/>
  <c r="E102" i="29"/>
  <c r="E102" i="30" s="1"/>
  <c r="E102" i="31" s="1"/>
  <c r="E102" i="32" s="1"/>
  <c r="E103" i="29"/>
  <c r="E103" i="30" s="1"/>
  <c r="E103" i="31" s="1"/>
  <c r="E103" i="32" s="1"/>
  <c r="E104" i="29"/>
  <c r="E104" i="30" s="1"/>
  <c r="E104" i="31" s="1"/>
  <c r="E104" i="32" s="1"/>
  <c r="E105" i="29"/>
  <c r="E105" i="30" s="1"/>
  <c r="E105" i="31" s="1"/>
  <c r="E105" i="32" s="1"/>
  <c r="E106" i="29"/>
  <c r="E106" i="30" s="1"/>
  <c r="E108" i="29"/>
  <c r="E108" i="30" s="1"/>
  <c r="E108" i="31" s="1"/>
  <c r="E108" i="32" s="1"/>
  <c r="E109" i="29"/>
  <c r="E109" i="30" s="1"/>
  <c r="E109" i="31" s="1"/>
  <c r="E109" i="32" s="1"/>
  <c r="E110" i="29"/>
  <c r="E110" i="30" s="1"/>
  <c r="E110" i="31" s="1"/>
  <c r="E110" i="32" s="1"/>
  <c r="E111" i="29"/>
  <c r="E111" i="30" s="1"/>
  <c r="E111" i="31" s="1"/>
  <c r="E111" i="32" s="1"/>
  <c r="E112" i="29"/>
  <c r="E112" i="30" s="1"/>
  <c r="E112" i="31" s="1"/>
  <c r="E112" i="32" s="1"/>
  <c r="E113" i="29"/>
  <c r="E113" i="30" s="1"/>
  <c r="E113" i="31" s="1"/>
  <c r="E113" i="32" s="1"/>
  <c r="E114" i="29"/>
  <c r="E114" i="30" s="1"/>
  <c r="E114" i="31" s="1"/>
  <c r="E114" i="32" s="1"/>
  <c r="E116" i="29"/>
  <c r="E116" i="30" s="1"/>
  <c r="E116" i="31" s="1"/>
  <c r="E116" i="32" s="1"/>
  <c r="E117" i="29"/>
  <c r="E117" i="30" s="1"/>
  <c r="E117" i="31" s="1"/>
  <c r="E117" i="32" s="1"/>
  <c r="E118" i="29"/>
  <c r="E118" i="30" s="1"/>
  <c r="E118" i="31" s="1"/>
  <c r="E118" i="32" s="1"/>
  <c r="E119" i="29"/>
  <c r="E119" i="30" s="1"/>
  <c r="E119" i="31" s="1"/>
  <c r="E119" i="32" s="1"/>
  <c r="E120" i="29"/>
  <c r="E120" i="30" s="1"/>
  <c r="E120" i="31" s="1"/>
  <c r="E120" i="32" s="1"/>
  <c r="E121" i="29"/>
  <c r="E121" i="30" s="1"/>
  <c r="E121" i="31" s="1"/>
  <c r="E121" i="32" s="1"/>
  <c r="E122" i="29"/>
  <c r="E122" i="30" s="1"/>
  <c r="E122" i="31" s="1"/>
  <c r="E122" i="32" s="1"/>
  <c r="E123" i="29"/>
  <c r="E123" i="30" s="1"/>
  <c r="E123" i="31" s="1"/>
  <c r="E123" i="32" s="1"/>
  <c r="E124" i="29"/>
  <c r="E124" i="30" s="1"/>
  <c r="E124" i="31" s="1"/>
  <c r="E124" i="32" s="1"/>
  <c r="E125" i="29"/>
  <c r="E125" i="30" s="1"/>
  <c r="E125" i="31" s="1"/>
  <c r="E125" i="32" s="1"/>
  <c r="E126" i="29"/>
  <c r="E126" i="30" s="1"/>
  <c r="E126" i="31" s="1"/>
  <c r="E126" i="32" s="1"/>
  <c r="E127" i="29"/>
  <c r="E127" i="30" s="1"/>
  <c r="E127" i="31" s="1"/>
  <c r="E127" i="32" s="1"/>
  <c r="E128" i="29"/>
  <c r="E128" i="30" s="1"/>
  <c r="E128" i="31" s="1"/>
  <c r="E128" i="32" s="1"/>
  <c r="E129" i="29"/>
  <c r="E129" i="30" s="1"/>
  <c r="E129" i="31" s="1"/>
  <c r="E129" i="32" s="1"/>
  <c r="E130" i="29"/>
  <c r="E130" i="30" s="1"/>
  <c r="E130" i="31" s="1"/>
  <c r="E130" i="32" s="1"/>
  <c r="E131" i="29"/>
  <c r="E131" i="30" s="1"/>
  <c r="E131" i="31" s="1"/>
  <c r="E131" i="32" s="1"/>
  <c r="E132" i="29"/>
  <c r="E132" i="30" s="1"/>
  <c r="E132" i="31" s="1"/>
  <c r="E132" i="32" s="1"/>
  <c r="E133" i="29"/>
  <c r="E133" i="30" s="1"/>
  <c r="E133" i="31" s="1"/>
  <c r="E133" i="32" s="1"/>
  <c r="E134" i="29"/>
  <c r="E134" i="30" s="1"/>
  <c r="E134" i="31" s="1"/>
  <c r="E134" i="32" s="1"/>
  <c r="E135" i="29"/>
  <c r="E135" i="30" s="1"/>
  <c r="E135" i="31" s="1"/>
  <c r="E135" i="32" s="1"/>
  <c r="E136" i="29"/>
  <c r="E136" i="30" s="1"/>
  <c r="E136" i="31" s="1"/>
  <c r="E136" i="32" s="1"/>
  <c r="E137" i="29"/>
  <c r="E137" i="30" s="1"/>
  <c r="E137" i="31" s="1"/>
  <c r="E137" i="32" s="1"/>
  <c r="E138" i="29"/>
  <c r="E138" i="30" s="1"/>
  <c r="E138" i="31" s="1"/>
  <c r="E138" i="32" s="1"/>
  <c r="E139" i="29"/>
  <c r="E139" i="30" s="1"/>
  <c r="E139" i="31" s="1"/>
  <c r="E139" i="32" s="1"/>
  <c r="E140" i="29"/>
  <c r="E140" i="30" s="1"/>
  <c r="E140" i="31" s="1"/>
  <c r="E140" i="32" s="1"/>
  <c r="E141" i="29"/>
  <c r="E141" i="30" s="1"/>
  <c r="E141" i="31" s="1"/>
  <c r="E141" i="32" s="1"/>
  <c r="E142" i="29"/>
  <c r="E142" i="30" s="1"/>
  <c r="E142" i="31" s="1"/>
  <c r="E142" i="32" s="1"/>
  <c r="E143" i="29"/>
  <c r="E143" i="30" s="1"/>
  <c r="E143" i="31" s="1"/>
  <c r="E143" i="32" s="1"/>
  <c r="E144" i="29"/>
  <c r="E144" i="30" s="1"/>
  <c r="E144" i="31" s="1"/>
  <c r="E144" i="32" s="1"/>
  <c r="E145" i="29"/>
  <c r="E145" i="30" s="1"/>
  <c r="E145" i="31" s="1"/>
  <c r="E145" i="32" s="1"/>
  <c r="E146" i="29"/>
  <c r="E146" i="30" s="1"/>
  <c r="E146" i="31" s="1"/>
  <c r="E146" i="32" s="1"/>
  <c r="E147" i="29"/>
  <c r="E147" i="30" s="1"/>
  <c r="E147" i="31" s="1"/>
  <c r="E147" i="32" s="1"/>
  <c r="E148" i="29"/>
  <c r="E148" i="30" s="1"/>
  <c r="E148" i="31" s="1"/>
  <c r="E148" i="32" s="1"/>
  <c r="E149" i="29"/>
  <c r="E149" i="30" s="1"/>
  <c r="E149" i="31" s="1"/>
  <c r="E149" i="32" s="1"/>
  <c r="E150" i="29"/>
  <c r="E150" i="30" s="1"/>
  <c r="E150" i="31" s="1"/>
  <c r="E150" i="32" s="1"/>
  <c r="E151" i="29"/>
  <c r="E151" i="30" s="1"/>
  <c r="E151" i="31" s="1"/>
  <c r="E151" i="32" s="1"/>
  <c r="E152" i="29"/>
  <c r="E152" i="30" s="1"/>
  <c r="E152" i="31" s="1"/>
  <c r="E152" i="32" s="1"/>
  <c r="E154" i="30"/>
  <c r="E154" i="31" s="1"/>
  <c r="E154" i="32" s="1"/>
  <c r="E155" i="29"/>
  <c r="E155" i="30" s="1"/>
  <c r="E155" i="31" s="1"/>
  <c r="E155" i="32" s="1"/>
  <c r="E156" i="29"/>
  <c r="E156" i="30" s="1"/>
  <c r="E156" i="31" s="1"/>
  <c r="E156" i="32" s="1"/>
  <c r="E157" i="29"/>
  <c r="E157" i="30" s="1"/>
  <c r="E157" i="31" s="1"/>
  <c r="E157" i="32" s="1"/>
  <c r="E158" i="29"/>
  <c r="E158" i="30" s="1"/>
  <c r="E158" i="31" s="1"/>
  <c r="E158" i="32" s="1"/>
  <c r="E159" i="29"/>
  <c r="E159" i="30" s="1"/>
  <c r="E159" i="31" s="1"/>
  <c r="E159" i="32" s="1"/>
  <c r="E160" i="29"/>
  <c r="E160" i="30" s="1"/>
  <c r="E160" i="31" s="1"/>
  <c r="E160" i="32" s="1"/>
  <c r="E11" i="29"/>
  <c r="E11" i="30" s="1"/>
  <c r="E11" i="31" s="1"/>
  <c r="E11" i="32" s="1"/>
  <c r="E150" i="27"/>
  <c r="E151" i="27"/>
  <c r="E152" i="27"/>
  <c r="E153" i="27"/>
  <c r="E155" i="27"/>
  <c r="E156" i="27"/>
  <c r="E12" i="28"/>
  <c r="E13" i="28"/>
  <c r="E14" i="28"/>
  <c r="E15" i="28"/>
  <c r="E16" i="28"/>
  <c r="E17" i="28"/>
  <c r="E18" i="28"/>
  <c r="E19" i="28"/>
  <c r="E20" i="28"/>
  <c r="E21" i="28"/>
  <c r="E22" i="28"/>
  <c r="E23" i="28"/>
  <c r="E24" i="28"/>
  <c r="E25" i="28"/>
  <c r="E26" i="28"/>
  <c r="E27" i="28"/>
  <c r="E28" i="28"/>
  <c r="E29" i="28"/>
  <c r="E30" i="28"/>
  <c r="E31" i="28"/>
  <c r="E32" i="28"/>
  <c r="E33"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8" i="28"/>
  <c r="E109" i="28"/>
  <c r="E110" i="28"/>
  <c r="E111" i="28"/>
  <c r="E112" i="28"/>
  <c r="E113" i="28"/>
  <c r="E114" i="28"/>
  <c r="E116" i="28"/>
  <c r="E117" i="28"/>
  <c r="E118" i="28"/>
  <c r="E119" i="28"/>
  <c r="E120" i="28"/>
  <c r="E121" i="28"/>
  <c r="E122" i="28"/>
  <c r="E123" i="28"/>
  <c r="E124" i="28"/>
  <c r="E125" i="28"/>
  <c r="E126" i="28"/>
  <c r="E127" i="28"/>
  <c r="E128" i="28"/>
  <c r="E129" i="28"/>
  <c r="E130" i="28"/>
  <c r="E131" i="28"/>
  <c r="E132" i="28"/>
  <c r="E133" i="28"/>
  <c r="E134" i="28"/>
  <c r="E135" i="28"/>
  <c r="E136" i="28"/>
  <c r="E137" i="28"/>
  <c r="E138" i="28"/>
  <c r="E139" i="28"/>
  <c r="E140" i="28"/>
  <c r="E141" i="28"/>
  <c r="E142" i="28"/>
  <c r="E143" i="28"/>
  <c r="E144" i="28"/>
  <c r="E145" i="28"/>
  <c r="E146" i="28"/>
  <c r="E147" i="28"/>
  <c r="E148" i="28"/>
  <c r="E149" i="28"/>
  <c r="E150" i="28"/>
  <c r="E151" i="28"/>
  <c r="E152" i="28"/>
  <c r="E155" i="28"/>
  <c r="E156" i="28"/>
  <c r="E157" i="28"/>
  <c r="E158" i="28"/>
  <c r="E159" i="28"/>
  <c r="E160" i="28"/>
  <c r="E11" i="28"/>
  <c r="E12" i="27"/>
  <c r="E13" i="27"/>
  <c r="E14" i="27"/>
  <c r="E15" i="27"/>
  <c r="E16" i="27"/>
  <c r="E17" i="27"/>
  <c r="E18" i="27"/>
  <c r="E19" i="27"/>
  <c r="E20" i="27"/>
  <c r="E21" i="27"/>
  <c r="E22" i="27"/>
  <c r="E23" i="27"/>
  <c r="E24" i="27"/>
  <c r="E25" i="27"/>
  <c r="E26" i="27"/>
  <c r="E27" i="27"/>
  <c r="E28" i="27"/>
  <c r="E29" i="27"/>
  <c r="E30" i="27"/>
  <c r="E31" i="27"/>
  <c r="E32" i="27"/>
  <c r="E33"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8" i="27"/>
  <c r="E109" i="27"/>
  <c r="E110" i="27"/>
  <c r="E111" i="27"/>
  <c r="E112" i="27"/>
  <c r="E113" i="27"/>
  <c r="E114"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7" i="27"/>
  <c r="E158" i="27"/>
  <c r="E159" i="27"/>
  <c r="E160" i="27"/>
  <c r="E11" i="27"/>
  <c r="E12" i="26"/>
  <c r="E13" i="26"/>
  <c r="E14" i="26"/>
  <c r="E15" i="26"/>
  <c r="E16" i="26"/>
  <c r="E17" i="26"/>
  <c r="E18" i="26"/>
  <c r="E19" i="26"/>
  <c r="E20" i="26"/>
  <c r="E21" i="26"/>
  <c r="E22" i="26"/>
  <c r="E23" i="26"/>
  <c r="E24" i="26"/>
  <c r="E25" i="26"/>
  <c r="E26" i="26"/>
  <c r="E27" i="26"/>
  <c r="E28" i="26"/>
  <c r="E29" i="26"/>
  <c r="E30" i="26"/>
  <c r="E31" i="26"/>
  <c r="E32" i="26"/>
  <c r="E33"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8" i="26"/>
  <c r="E109" i="26"/>
  <c r="E110" i="26"/>
  <c r="E111" i="26"/>
  <c r="E112" i="26"/>
  <c r="E113" i="26"/>
  <c r="E114"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5" i="26"/>
  <c r="E156" i="26"/>
  <c r="E157" i="26"/>
  <c r="E158" i="26"/>
  <c r="E159" i="26"/>
  <c r="E160" i="26"/>
  <c r="E11" i="26"/>
  <c r="D3447" i="13"/>
  <c r="E3447" i="13"/>
  <c r="C3466" i="13"/>
  <c r="D3457" i="13"/>
  <c r="D3456" i="13"/>
  <c r="E106" i="31" l="1"/>
  <c r="E106" i="32" s="1"/>
  <c r="D3442" i="13"/>
  <c r="G3442" i="13" s="1"/>
  <c r="G3441" i="13"/>
  <c r="D3440" i="13"/>
  <c r="G3440" i="13" s="1"/>
  <c r="F3457" i="13"/>
  <c r="G3457" i="13" s="1"/>
  <c r="F3466" i="13"/>
  <c r="F3465" i="13"/>
  <c r="D3466" i="13"/>
  <c r="D3465" i="13"/>
  <c r="G3474" i="13"/>
  <c r="G3480" i="13" s="1"/>
  <c r="G3449" i="13"/>
  <c r="G3448" i="13"/>
  <c r="G3447" i="13"/>
  <c r="G3446" i="13"/>
  <c r="G3445" i="13"/>
  <c r="G3444" i="13"/>
  <c r="G3443" i="13"/>
  <c r="C102" i="29"/>
  <c r="E145" i="33"/>
  <c r="E146" i="33"/>
  <c r="E147" i="33"/>
  <c r="E148" i="33"/>
  <c r="E149" i="33"/>
  <c r="E150" i="33"/>
  <c r="E151" i="33"/>
  <c r="E152" i="33"/>
  <c r="E160" i="33"/>
  <c r="E144" i="33"/>
  <c r="E117" i="33"/>
  <c r="E118" i="33"/>
  <c r="E119" i="33"/>
  <c r="E120" i="33"/>
  <c r="E121" i="33"/>
  <c r="E122" i="33"/>
  <c r="E123" i="33"/>
  <c r="E124" i="33"/>
  <c r="E125" i="33"/>
  <c r="E126" i="33"/>
  <c r="E127" i="33"/>
  <c r="E128" i="33"/>
  <c r="E129" i="33"/>
  <c r="E130" i="33"/>
  <c r="E131" i="33"/>
  <c r="E132" i="33"/>
  <c r="E133" i="33"/>
  <c r="E134" i="33"/>
  <c r="E135" i="33"/>
  <c r="E136" i="33"/>
  <c r="E137" i="33"/>
  <c r="E138" i="33"/>
  <c r="E139" i="33"/>
  <c r="E140" i="33"/>
  <c r="E141" i="33"/>
  <c r="E142" i="33"/>
  <c r="E143" i="33"/>
  <c r="E109" i="33"/>
  <c r="E110" i="33"/>
  <c r="E111" i="33"/>
  <c r="E112" i="33"/>
  <c r="E113" i="33"/>
  <c r="E114" i="33"/>
  <c r="E115" i="33"/>
  <c r="E116" i="33"/>
  <c r="E101" i="33"/>
  <c r="E102" i="33"/>
  <c r="E103" i="33"/>
  <c r="E104" i="33"/>
  <c r="E105" i="33"/>
  <c r="E108" i="33"/>
  <c r="E98" i="33"/>
  <c r="E99" i="33"/>
  <c r="E100" i="33"/>
  <c r="E81" i="33"/>
  <c r="E82" i="33"/>
  <c r="E83" i="33"/>
  <c r="E84" i="33"/>
  <c r="E85" i="33"/>
  <c r="E86" i="33"/>
  <c r="E87" i="33"/>
  <c r="E88" i="33"/>
  <c r="E89" i="33"/>
  <c r="E90" i="33"/>
  <c r="E91" i="33"/>
  <c r="E92" i="33"/>
  <c r="E93" i="33"/>
  <c r="E94" i="33"/>
  <c r="E95" i="33"/>
  <c r="E96" i="33"/>
  <c r="E97" i="33"/>
  <c r="E65" i="33"/>
  <c r="E66" i="33"/>
  <c r="E67" i="33"/>
  <c r="E68" i="33"/>
  <c r="E69" i="33"/>
  <c r="E70" i="33"/>
  <c r="E71" i="33"/>
  <c r="E72" i="33"/>
  <c r="E73" i="33"/>
  <c r="E74" i="33"/>
  <c r="E75" i="33"/>
  <c r="E76" i="33"/>
  <c r="E77" i="33"/>
  <c r="E78" i="33"/>
  <c r="E79" i="33"/>
  <c r="E80" i="33"/>
  <c r="E35" i="33"/>
  <c r="E36" i="33"/>
  <c r="E37" i="33"/>
  <c r="E38" i="33"/>
  <c r="E39" i="33"/>
  <c r="E40" i="33"/>
  <c r="E41" i="33"/>
  <c r="E42" i="33"/>
  <c r="E43" i="33"/>
  <c r="E44" i="33"/>
  <c r="E45" i="33"/>
  <c r="E46" i="33"/>
  <c r="E47" i="33"/>
  <c r="E48" i="33"/>
  <c r="E49" i="33"/>
  <c r="E50" i="33"/>
  <c r="E51" i="33"/>
  <c r="E52" i="33"/>
  <c r="E53" i="33"/>
  <c r="E54" i="33"/>
  <c r="E55" i="33"/>
  <c r="E56" i="33"/>
  <c r="E57" i="33"/>
  <c r="E58" i="33"/>
  <c r="E59" i="33"/>
  <c r="E60" i="33"/>
  <c r="E61" i="33"/>
  <c r="E62" i="33"/>
  <c r="E63" i="33"/>
  <c r="E64" i="33"/>
  <c r="E15" i="33"/>
  <c r="E16" i="33"/>
  <c r="E17" i="33"/>
  <c r="E18" i="33"/>
  <c r="E19" i="33"/>
  <c r="E20" i="33"/>
  <c r="E21" i="33"/>
  <c r="E22" i="33"/>
  <c r="E23" i="33"/>
  <c r="E24" i="33"/>
  <c r="E25" i="33"/>
  <c r="E26" i="33"/>
  <c r="E27" i="33"/>
  <c r="E28" i="33"/>
  <c r="E29" i="33"/>
  <c r="E30" i="33"/>
  <c r="E31" i="33"/>
  <c r="E32" i="33"/>
  <c r="E33" i="33"/>
  <c r="E12" i="33"/>
  <c r="E13" i="33"/>
  <c r="E14" i="33"/>
  <c r="E11" i="33"/>
  <c r="D3419" i="13"/>
  <c r="D3418" i="13"/>
  <c r="C3419" i="13"/>
  <c r="G3427" i="13"/>
  <c r="G3430" i="13" s="1"/>
  <c r="G3399" i="13"/>
  <c r="G3398" i="13"/>
  <c r="G3396" i="13"/>
  <c r="G3395" i="13"/>
  <c r="G3394" i="13"/>
  <c r="D3371" i="13"/>
  <c r="D3372" i="13"/>
  <c r="C3372" i="13"/>
  <c r="G3348" i="13"/>
  <c r="G3349" i="13"/>
  <c r="G3354" i="13"/>
  <c r="G3355" i="13"/>
  <c r="G3356" i="13"/>
  <c r="A3389" i="13"/>
  <c r="G3389" i="13"/>
  <c r="B3389" i="13"/>
  <c r="B3342" i="13"/>
  <c r="G3342" i="13"/>
  <c r="A3342" i="13"/>
  <c r="G3380" i="13"/>
  <c r="G3383" i="13" s="1"/>
  <c r="G3357" i="13"/>
  <c r="G3347" i="13"/>
  <c r="F57" i="14"/>
  <c r="F33" i="14"/>
  <c r="F32" i="14"/>
  <c r="G3397" i="13" l="1"/>
  <c r="G3456" i="13"/>
  <c r="G3400" i="13"/>
  <c r="G3450" i="13"/>
  <c r="E3419" i="13"/>
  <c r="G3419" i="13" s="1"/>
  <c r="E3372" i="13"/>
  <c r="G3372" i="13" s="1"/>
  <c r="G3358" i="13"/>
  <c r="G3405" i="13" l="1"/>
  <c r="N132" i="28"/>
  <c r="N88" i="29" l="1"/>
  <c r="N59" i="29" s="1"/>
  <c r="C128" i="26" l="1"/>
  <c r="G128" i="26"/>
  <c r="H128" i="26"/>
  <c r="J128" i="26" s="1"/>
  <c r="C128" i="27"/>
  <c r="G128" i="27"/>
  <c r="H128" i="27"/>
  <c r="I128" i="27"/>
  <c r="J128" i="27"/>
  <c r="K128" i="27"/>
  <c r="L128" i="27"/>
  <c r="M128" i="27"/>
  <c r="N128" i="27"/>
  <c r="P128" i="27" s="1"/>
  <c r="C128" i="28"/>
  <c r="N128" i="28"/>
  <c r="P128" i="28" s="1"/>
  <c r="N128" i="29"/>
  <c r="P128" i="29" s="1"/>
  <c r="G128" i="29"/>
  <c r="N128" i="30"/>
  <c r="P128" i="30" s="1"/>
  <c r="N128" i="33"/>
  <c r="P128" i="33" s="1"/>
  <c r="G128" i="33"/>
  <c r="G128" i="32"/>
  <c r="H128" i="32"/>
  <c r="I128" i="32"/>
  <c r="J128" i="32"/>
  <c r="K128" i="32"/>
  <c r="L128" i="32"/>
  <c r="M128" i="32"/>
  <c r="N128" i="32"/>
  <c r="P128" i="32" s="1"/>
  <c r="C128" i="32"/>
  <c r="N128" i="31"/>
  <c r="P128" i="31" s="1"/>
  <c r="G128" i="31"/>
  <c r="D1151" i="13" l="1"/>
  <c r="D1150" i="13"/>
  <c r="C1151" i="13"/>
  <c r="G1125" i="13"/>
  <c r="A1125" i="13"/>
  <c r="B1125" i="13"/>
  <c r="F1159" i="13"/>
  <c r="G1159" i="13" s="1"/>
  <c r="G1165" i="13" s="1"/>
  <c r="F1151" i="13"/>
  <c r="F1150" i="13"/>
  <c r="G1141" i="13"/>
  <c r="G1134" i="13"/>
  <c r="G1133" i="13"/>
  <c r="G1132" i="13"/>
  <c r="G1131" i="13"/>
  <c r="C46" i="28"/>
  <c r="C45" i="27"/>
  <c r="C42" i="26"/>
  <c r="C43" i="26"/>
  <c r="C44" i="26"/>
  <c r="C45" i="26"/>
  <c r="C46" i="26"/>
  <c r="C46" i="33"/>
  <c r="C46" i="30"/>
  <c r="C46" i="29"/>
  <c r="C62" i="26"/>
  <c r="N36" i="29"/>
  <c r="N11" i="30"/>
  <c r="F58" i="14"/>
  <c r="N25" i="29" l="1"/>
  <c r="E1151" i="13"/>
  <c r="G1151" i="13" s="1"/>
  <c r="G1135" i="13"/>
  <c r="F38" i="14" l="1"/>
  <c r="F37" i="14"/>
  <c r="F36" i="14"/>
  <c r="F35" i="14"/>
  <c r="F34" i="14"/>
  <c r="N33" i="30" l="1"/>
  <c r="N90" i="30"/>
  <c r="N61" i="30" s="1"/>
  <c r="N61" i="33" l="1"/>
  <c r="N90" i="33"/>
  <c r="G119" i="33" l="1"/>
  <c r="J119" i="33"/>
  <c r="K119" i="33"/>
  <c r="L119" i="33"/>
  <c r="M119" i="33"/>
  <c r="N119" i="33"/>
  <c r="G120" i="33"/>
  <c r="J120" i="33"/>
  <c r="K120" i="33"/>
  <c r="L120" i="33"/>
  <c r="M120" i="33"/>
  <c r="N120" i="33"/>
  <c r="G121" i="33"/>
  <c r="J121" i="33"/>
  <c r="K121" i="33"/>
  <c r="L121" i="33"/>
  <c r="M121" i="33"/>
  <c r="N121" i="33"/>
  <c r="G122" i="33"/>
  <c r="J122" i="33"/>
  <c r="K122" i="33"/>
  <c r="L122" i="33"/>
  <c r="M122" i="33"/>
  <c r="N122" i="33"/>
  <c r="G123" i="33"/>
  <c r="J123" i="33"/>
  <c r="K123" i="33"/>
  <c r="L123" i="33"/>
  <c r="M123" i="33"/>
  <c r="N123" i="33"/>
  <c r="G124" i="33"/>
  <c r="J124" i="33"/>
  <c r="K124" i="33"/>
  <c r="L124" i="33"/>
  <c r="M124" i="33"/>
  <c r="N124" i="33"/>
  <c r="G125" i="33"/>
  <c r="J125" i="33"/>
  <c r="K125" i="33"/>
  <c r="L125" i="33"/>
  <c r="M125" i="33"/>
  <c r="N125" i="33"/>
  <c r="G126" i="33"/>
  <c r="J126" i="33"/>
  <c r="K126" i="33"/>
  <c r="L126" i="33"/>
  <c r="M126" i="33"/>
  <c r="N126" i="33"/>
  <c r="G127" i="33"/>
  <c r="J127" i="33"/>
  <c r="K127" i="33"/>
  <c r="L127" i="33"/>
  <c r="M127" i="33"/>
  <c r="N127" i="33"/>
  <c r="G129" i="33"/>
  <c r="J129" i="33"/>
  <c r="K129" i="33"/>
  <c r="L129" i="33"/>
  <c r="M129" i="33"/>
  <c r="N129" i="33"/>
  <c r="G130" i="33"/>
  <c r="J130" i="33"/>
  <c r="K130" i="33"/>
  <c r="L130" i="33"/>
  <c r="M130" i="33"/>
  <c r="N130" i="33"/>
  <c r="G131" i="33"/>
  <c r="J131" i="33"/>
  <c r="K131" i="33"/>
  <c r="L131" i="33"/>
  <c r="M131" i="33"/>
  <c r="N131" i="33"/>
  <c r="G132" i="33"/>
  <c r="J132" i="33"/>
  <c r="K132" i="33"/>
  <c r="L132" i="33"/>
  <c r="M132" i="33"/>
  <c r="N132" i="33"/>
  <c r="G133" i="33"/>
  <c r="J133" i="33"/>
  <c r="K133" i="33"/>
  <c r="L133" i="33"/>
  <c r="M133" i="33"/>
  <c r="N133" i="33"/>
  <c r="G134" i="33"/>
  <c r="J134" i="33"/>
  <c r="K134" i="33"/>
  <c r="L134" i="33"/>
  <c r="M134" i="33"/>
  <c r="N134" i="33"/>
  <c r="G135" i="33"/>
  <c r="J135" i="33"/>
  <c r="K135" i="33"/>
  <c r="L135" i="33"/>
  <c r="M135" i="33"/>
  <c r="N135" i="33"/>
  <c r="G136" i="33"/>
  <c r="J136" i="33"/>
  <c r="K136" i="33"/>
  <c r="L136" i="33"/>
  <c r="M136" i="33"/>
  <c r="N136" i="33"/>
  <c r="G137" i="33"/>
  <c r="J137" i="33"/>
  <c r="K137" i="33"/>
  <c r="L137" i="33"/>
  <c r="M137" i="33"/>
  <c r="N137" i="33"/>
  <c r="G138" i="33"/>
  <c r="J138" i="33"/>
  <c r="K138" i="33"/>
  <c r="L138" i="33"/>
  <c r="M138" i="33"/>
  <c r="N138" i="33"/>
  <c r="G139" i="33"/>
  <c r="J139" i="33"/>
  <c r="K139" i="33"/>
  <c r="L139" i="33"/>
  <c r="M139" i="33"/>
  <c r="N139" i="33"/>
  <c r="G140" i="33"/>
  <c r="J140" i="33"/>
  <c r="K140" i="33"/>
  <c r="L140" i="33"/>
  <c r="M140" i="33"/>
  <c r="N140" i="33"/>
  <c r="G141" i="33"/>
  <c r="J141" i="33"/>
  <c r="K141" i="33"/>
  <c r="L141" i="33"/>
  <c r="M141" i="33"/>
  <c r="N141" i="33"/>
  <c r="G142" i="33"/>
  <c r="J142" i="33"/>
  <c r="K142" i="33"/>
  <c r="L142" i="33"/>
  <c r="M142" i="33"/>
  <c r="N142" i="33"/>
  <c r="G143" i="33"/>
  <c r="J143" i="33"/>
  <c r="K143" i="33"/>
  <c r="L143" i="33"/>
  <c r="M143" i="33"/>
  <c r="N143" i="33"/>
  <c r="G118" i="33"/>
  <c r="N118" i="33"/>
  <c r="N87" i="31"/>
  <c r="N58" i="31" s="1"/>
  <c r="N87" i="30"/>
  <c r="N58" i="30" s="1"/>
  <c r="N114" i="30" s="1"/>
  <c r="N87" i="29"/>
  <c r="N58" i="29" s="1"/>
  <c r="N87" i="28"/>
  <c r="N58" i="28" s="1"/>
  <c r="N87" i="27"/>
  <c r="N58" i="27" s="1"/>
  <c r="C146" i="27"/>
  <c r="C147" i="27"/>
  <c r="C148" i="27"/>
  <c r="C149" i="27"/>
  <c r="C150" i="27"/>
  <c r="C151" i="27"/>
  <c r="C152" i="27"/>
  <c r="C153" i="27"/>
  <c r="C155" i="27"/>
  <c r="C156" i="27"/>
  <c r="C157" i="27"/>
  <c r="C158" i="27"/>
  <c r="C159" i="27"/>
  <c r="C160" i="27"/>
  <c r="C112" i="27"/>
  <c r="C114" i="27"/>
  <c r="C117" i="27"/>
  <c r="C118" i="27"/>
  <c r="C119" i="27"/>
  <c r="C120" i="27"/>
  <c r="C121" i="27"/>
  <c r="C122" i="27"/>
  <c r="C123" i="27"/>
  <c r="C124" i="27"/>
  <c r="C125" i="27"/>
  <c r="C126" i="27"/>
  <c r="C127" i="27"/>
  <c r="C129" i="27"/>
  <c r="C130" i="27"/>
  <c r="C131" i="27"/>
  <c r="C132" i="27"/>
  <c r="C133" i="27"/>
  <c r="C134" i="27"/>
  <c r="C135" i="27"/>
  <c r="C136" i="27"/>
  <c r="C137" i="27"/>
  <c r="C138" i="27"/>
  <c r="C139" i="27"/>
  <c r="C140" i="27"/>
  <c r="C141" i="27"/>
  <c r="C142" i="27"/>
  <c r="C143" i="27"/>
  <c r="C145" i="27"/>
  <c r="C103" i="27"/>
  <c r="C104" i="27"/>
  <c r="C105" i="27"/>
  <c r="C106" i="27"/>
  <c r="C109" i="27"/>
  <c r="C110" i="27"/>
  <c r="C111" i="27"/>
  <c r="C102" i="27"/>
  <c r="C82" i="27"/>
  <c r="C83" i="27"/>
  <c r="C84" i="27"/>
  <c r="C85" i="27"/>
  <c r="C86" i="27"/>
  <c r="C87" i="27"/>
  <c r="C88" i="27"/>
  <c r="C89" i="27"/>
  <c r="C90" i="27"/>
  <c r="C91" i="27"/>
  <c r="C92" i="27"/>
  <c r="C93" i="27"/>
  <c r="C94" i="27"/>
  <c r="C95" i="27"/>
  <c r="C96" i="27"/>
  <c r="C66" i="27"/>
  <c r="C67" i="27"/>
  <c r="C68" i="27"/>
  <c r="C69" i="27"/>
  <c r="C70" i="27"/>
  <c r="C71" i="27"/>
  <c r="C72" i="27"/>
  <c r="C73" i="27"/>
  <c r="C74" i="27"/>
  <c r="C75" i="27"/>
  <c r="C76" i="27"/>
  <c r="C77" i="27"/>
  <c r="C78" i="27"/>
  <c r="C79" i="27"/>
  <c r="C81" i="27"/>
  <c r="C37" i="27"/>
  <c r="C38" i="27"/>
  <c r="C39" i="27"/>
  <c r="C40" i="27"/>
  <c r="C41" i="27"/>
  <c r="C42" i="27"/>
  <c r="C43" i="27"/>
  <c r="C44" i="27"/>
  <c r="C46" i="27"/>
  <c r="C47" i="27"/>
  <c r="C48" i="27"/>
  <c r="C49" i="27"/>
  <c r="C50" i="27"/>
  <c r="C51" i="27"/>
  <c r="C52" i="27"/>
  <c r="C53" i="27"/>
  <c r="C54" i="27"/>
  <c r="C55" i="27"/>
  <c r="C56" i="27"/>
  <c r="C57" i="27"/>
  <c r="C58" i="27"/>
  <c r="C59" i="27"/>
  <c r="C60" i="27"/>
  <c r="C61" i="27"/>
  <c r="C62" i="27"/>
  <c r="C63" i="27"/>
  <c r="C65" i="27"/>
  <c r="C30" i="27"/>
  <c r="C31" i="27"/>
  <c r="C32" i="27"/>
  <c r="C33" i="27"/>
  <c r="C35" i="27"/>
  <c r="C36" i="27"/>
  <c r="C29" i="27"/>
  <c r="C21" i="27"/>
  <c r="C22" i="27"/>
  <c r="C23" i="27"/>
  <c r="C24" i="27"/>
  <c r="C25" i="27"/>
  <c r="C27" i="27"/>
  <c r="C18" i="27"/>
  <c r="C20" i="27"/>
  <c r="C12" i="27"/>
  <c r="C13" i="27"/>
  <c r="C14" i="27"/>
  <c r="C17" i="27"/>
  <c r="C160" i="28"/>
  <c r="C146" i="28"/>
  <c r="C147" i="28"/>
  <c r="C148" i="28"/>
  <c r="C149" i="28"/>
  <c r="C150" i="28"/>
  <c r="C151" i="28"/>
  <c r="C152" i="28"/>
  <c r="C153" i="28"/>
  <c r="C155" i="28"/>
  <c r="C156" i="28"/>
  <c r="C157" i="28"/>
  <c r="C158" i="28"/>
  <c r="C159" i="28"/>
  <c r="C119" i="28"/>
  <c r="C120" i="28"/>
  <c r="C121" i="28"/>
  <c r="C122" i="28"/>
  <c r="C123" i="28"/>
  <c r="C124" i="28"/>
  <c r="C125" i="28"/>
  <c r="C126" i="28"/>
  <c r="C127" i="28"/>
  <c r="C129" i="28"/>
  <c r="C130" i="28"/>
  <c r="C131" i="28"/>
  <c r="C132" i="28"/>
  <c r="C133" i="28"/>
  <c r="C134" i="28"/>
  <c r="C135" i="28"/>
  <c r="C136" i="28"/>
  <c r="C137" i="28"/>
  <c r="C138" i="28"/>
  <c r="C139" i="28"/>
  <c r="C140" i="28"/>
  <c r="C141" i="28"/>
  <c r="C142" i="28"/>
  <c r="C143" i="28"/>
  <c r="C145" i="28"/>
  <c r="C112" i="28"/>
  <c r="C114" i="28"/>
  <c r="C117" i="28"/>
  <c r="C118" i="28"/>
  <c r="C103" i="28"/>
  <c r="C104" i="28"/>
  <c r="C105" i="28"/>
  <c r="C106" i="28"/>
  <c r="C109" i="28"/>
  <c r="C110" i="28"/>
  <c r="C111" i="28"/>
  <c r="C102" i="28"/>
  <c r="C82" i="28"/>
  <c r="C83" i="28"/>
  <c r="C84" i="28"/>
  <c r="C85" i="28"/>
  <c r="C86" i="28"/>
  <c r="C87" i="28"/>
  <c r="C88" i="28"/>
  <c r="C89" i="28"/>
  <c r="C90" i="28"/>
  <c r="C91" i="28"/>
  <c r="C92" i="28"/>
  <c r="C93" i="28"/>
  <c r="C94" i="28"/>
  <c r="C95" i="28"/>
  <c r="C96" i="28"/>
  <c r="C81" i="28"/>
  <c r="C66" i="28"/>
  <c r="C67" i="28"/>
  <c r="C68" i="28"/>
  <c r="C69" i="28"/>
  <c r="C70" i="28"/>
  <c r="C71" i="28"/>
  <c r="C72" i="28"/>
  <c r="C73" i="28"/>
  <c r="C74" i="28"/>
  <c r="C75" i="28"/>
  <c r="C76" i="28"/>
  <c r="C77" i="28"/>
  <c r="C78" i="28"/>
  <c r="C79" i="28"/>
  <c r="C80" i="28"/>
  <c r="C37" i="28"/>
  <c r="C38" i="28"/>
  <c r="C39" i="28"/>
  <c r="C40" i="28"/>
  <c r="C41" i="28"/>
  <c r="C42" i="28"/>
  <c r="C43" i="28"/>
  <c r="C44" i="28"/>
  <c r="C45" i="28"/>
  <c r="C47" i="28"/>
  <c r="C48" i="28"/>
  <c r="C49" i="28"/>
  <c r="C50" i="28"/>
  <c r="C51" i="28"/>
  <c r="C52" i="28"/>
  <c r="C53" i="28"/>
  <c r="C54" i="28"/>
  <c r="C55" i="28"/>
  <c r="C56" i="28"/>
  <c r="C57" i="28"/>
  <c r="C58" i="28"/>
  <c r="C59" i="28"/>
  <c r="C60" i="28"/>
  <c r="C61" i="28"/>
  <c r="C62" i="28"/>
  <c r="C63" i="28"/>
  <c r="C65" i="28"/>
  <c r="C29" i="28"/>
  <c r="C30" i="28"/>
  <c r="C31" i="28"/>
  <c r="C32" i="28"/>
  <c r="C33" i="28"/>
  <c r="C35" i="28"/>
  <c r="C36" i="28"/>
  <c r="C21" i="28"/>
  <c r="C22" i="28"/>
  <c r="C23" i="28"/>
  <c r="C24" i="28"/>
  <c r="C25" i="28"/>
  <c r="C27" i="28"/>
  <c r="C17" i="28"/>
  <c r="C18" i="28"/>
  <c r="C20" i="28"/>
  <c r="C13" i="28"/>
  <c r="C14" i="28"/>
  <c r="C12" i="28"/>
  <c r="C36" i="29"/>
  <c r="C37" i="29"/>
  <c r="C38" i="29"/>
  <c r="C39" i="29"/>
  <c r="C40" i="29"/>
  <c r="C41" i="29"/>
  <c r="C42" i="29"/>
  <c r="C43" i="29"/>
  <c r="C44" i="29"/>
  <c r="C45" i="29"/>
  <c r="C47" i="29"/>
  <c r="C48" i="29"/>
  <c r="C49" i="29"/>
  <c r="C50" i="29"/>
  <c r="C51" i="29"/>
  <c r="C52" i="29"/>
  <c r="C53" i="29"/>
  <c r="C54" i="29"/>
  <c r="C55" i="29"/>
  <c r="C56" i="29"/>
  <c r="C57" i="29"/>
  <c r="C58" i="29"/>
  <c r="C59" i="29"/>
  <c r="C60" i="29"/>
  <c r="C61" i="29"/>
  <c r="C62" i="29"/>
  <c r="C63" i="29"/>
  <c r="C65" i="29"/>
  <c r="C66" i="29"/>
  <c r="C67" i="29"/>
  <c r="C68" i="29"/>
  <c r="C69" i="29"/>
  <c r="C70" i="29"/>
  <c r="C71" i="29"/>
  <c r="C72" i="29"/>
  <c r="C73" i="29"/>
  <c r="C74" i="29"/>
  <c r="C75" i="29"/>
  <c r="C76" i="29"/>
  <c r="C77" i="29"/>
  <c r="C78" i="29"/>
  <c r="C79" i="29"/>
  <c r="C81" i="29"/>
  <c r="C82" i="29"/>
  <c r="C83" i="29"/>
  <c r="C84" i="29"/>
  <c r="C85" i="29"/>
  <c r="C86" i="29"/>
  <c r="C87" i="29"/>
  <c r="C88" i="29"/>
  <c r="C89" i="29"/>
  <c r="C90" i="29"/>
  <c r="C91" i="29"/>
  <c r="C92" i="29"/>
  <c r="C93" i="29"/>
  <c r="C94" i="29"/>
  <c r="C95" i="29"/>
  <c r="C96" i="29"/>
  <c r="C103" i="29"/>
  <c r="C104" i="29"/>
  <c r="C105" i="29"/>
  <c r="C106" i="29"/>
  <c r="C109" i="29"/>
  <c r="C110" i="29"/>
  <c r="C111" i="29"/>
  <c r="C112" i="29"/>
  <c r="C114" i="29"/>
  <c r="C117" i="29"/>
  <c r="C118" i="29"/>
  <c r="C119" i="29"/>
  <c r="C120" i="29"/>
  <c r="C121" i="29"/>
  <c r="C122" i="29"/>
  <c r="C123" i="29"/>
  <c r="C124" i="29"/>
  <c r="C125" i="29"/>
  <c r="C126" i="29"/>
  <c r="C127" i="29"/>
  <c r="C129" i="29"/>
  <c r="C130" i="29"/>
  <c r="C131" i="29"/>
  <c r="C132" i="29"/>
  <c r="C133" i="29"/>
  <c r="C134" i="29"/>
  <c r="C135" i="29"/>
  <c r="C136" i="29"/>
  <c r="C137" i="29"/>
  <c r="C138" i="29"/>
  <c r="C139" i="29"/>
  <c r="C140" i="29"/>
  <c r="C141" i="29"/>
  <c r="C142" i="29"/>
  <c r="C143" i="29"/>
  <c r="C145" i="29"/>
  <c r="C146" i="29"/>
  <c r="C147" i="29"/>
  <c r="C148" i="29"/>
  <c r="C149" i="29"/>
  <c r="C150" i="29"/>
  <c r="C151" i="29"/>
  <c r="C152" i="29"/>
  <c r="C153" i="29"/>
  <c r="C156" i="29"/>
  <c r="C157" i="29"/>
  <c r="C158" i="29"/>
  <c r="C159" i="29"/>
  <c r="C160" i="29"/>
  <c r="C30" i="29"/>
  <c r="C31" i="29"/>
  <c r="C32" i="29"/>
  <c r="C33" i="29"/>
  <c r="C35" i="29"/>
  <c r="C27" i="29"/>
  <c r="C29" i="29"/>
  <c r="C18" i="29"/>
  <c r="C20" i="29"/>
  <c r="C21" i="29"/>
  <c r="C22" i="29"/>
  <c r="C23" i="29"/>
  <c r="C24" i="29"/>
  <c r="C25" i="29"/>
  <c r="C13" i="29"/>
  <c r="C14" i="29"/>
  <c r="C17" i="29"/>
  <c r="C12" i="29"/>
  <c r="C17" i="30"/>
  <c r="C18" i="30"/>
  <c r="C20" i="30"/>
  <c r="C21" i="30"/>
  <c r="C22" i="30"/>
  <c r="C23" i="30"/>
  <c r="C24" i="30"/>
  <c r="C25" i="30"/>
  <c r="C27" i="30"/>
  <c r="C29" i="30"/>
  <c r="C30" i="30"/>
  <c r="C31" i="30"/>
  <c r="C32" i="30"/>
  <c r="C33" i="30"/>
  <c r="C35" i="30"/>
  <c r="C36" i="30"/>
  <c r="C37" i="30"/>
  <c r="C38" i="30"/>
  <c r="C39" i="30"/>
  <c r="C40" i="30"/>
  <c r="C41" i="30"/>
  <c r="C42" i="30"/>
  <c r="C43" i="30"/>
  <c r="C44" i="30"/>
  <c r="C45" i="30"/>
  <c r="C47" i="30"/>
  <c r="C48" i="30"/>
  <c r="C49" i="30"/>
  <c r="C50" i="30"/>
  <c r="C51" i="30"/>
  <c r="C52" i="30"/>
  <c r="C53" i="30"/>
  <c r="C54" i="30"/>
  <c r="C55" i="30"/>
  <c r="C56" i="30"/>
  <c r="C57" i="30"/>
  <c r="C58" i="30"/>
  <c r="C59" i="30"/>
  <c r="C60" i="30"/>
  <c r="C61" i="30"/>
  <c r="C62" i="30"/>
  <c r="C63" i="30"/>
  <c r="C65" i="30"/>
  <c r="C66" i="30"/>
  <c r="C67" i="30"/>
  <c r="C68" i="30"/>
  <c r="C69" i="30"/>
  <c r="C70" i="30"/>
  <c r="C71" i="30"/>
  <c r="C72" i="30"/>
  <c r="C73" i="30"/>
  <c r="C74" i="30"/>
  <c r="C75" i="30"/>
  <c r="C76" i="30"/>
  <c r="C77" i="30"/>
  <c r="C78" i="30"/>
  <c r="C79" i="30"/>
  <c r="C81" i="30"/>
  <c r="C82" i="30"/>
  <c r="C83" i="30"/>
  <c r="C84" i="30"/>
  <c r="C85" i="30"/>
  <c r="C86" i="30"/>
  <c r="C87" i="30"/>
  <c r="C88" i="30"/>
  <c r="C89" i="30"/>
  <c r="C90" i="30"/>
  <c r="C91" i="30"/>
  <c r="C92" i="30"/>
  <c r="C93" i="30"/>
  <c r="C94" i="30"/>
  <c r="C95" i="30"/>
  <c r="C96" i="30"/>
  <c r="C102" i="30"/>
  <c r="C103" i="30"/>
  <c r="C104" i="30"/>
  <c r="C105" i="30"/>
  <c r="C106" i="30"/>
  <c r="C109" i="30"/>
  <c r="C110" i="30"/>
  <c r="C111" i="30"/>
  <c r="C112" i="30"/>
  <c r="C114" i="30"/>
  <c r="C117" i="30"/>
  <c r="C118" i="30"/>
  <c r="C119" i="30"/>
  <c r="C120" i="30"/>
  <c r="C121" i="30"/>
  <c r="C122" i="30"/>
  <c r="C123" i="30"/>
  <c r="C124" i="30"/>
  <c r="C125" i="30"/>
  <c r="C126" i="30"/>
  <c r="C127" i="30"/>
  <c r="C129" i="30"/>
  <c r="C130" i="30"/>
  <c r="C131" i="30"/>
  <c r="C132" i="30"/>
  <c r="C133" i="30"/>
  <c r="C134" i="30"/>
  <c r="C135" i="30"/>
  <c r="C136" i="30"/>
  <c r="C137" i="30"/>
  <c r="C138" i="30"/>
  <c r="C139" i="30"/>
  <c r="C140" i="30"/>
  <c r="C141" i="30"/>
  <c r="C142" i="30"/>
  <c r="C143" i="30"/>
  <c r="C145" i="30"/>
  <c r="C146" i="30"/>
  <c r="C147" i="30"/>
  <c r="C148" i="30"/>
  <c r="C149" i="30"/>
  <c r="C150" i="30"/>
  <c r="C151" i="30"/>
  <c r="C152" i="30"/>
  <c r="C154" i="30"/>
  <c r="C155" i="30"/>
  <c r="C156" i="30"/>
  <c r="C157" i="30"/>
  <c r="C158" i="30"/>
  <c r="C159" i="30"/>
  <c r="C160" i="30"/>
  <c r="C12" i="30"/>
  <c r="C13" i="30"/>
  <c r="C14" i="30"/>
  <c r="C59" i="31"/>
  <c r="C60" i="31"/>
  <c r="C61" i="31"/>
  <c r="C62" i="31"/>
  <c r="C63" i="31"/>
  <c r="C65" i="31"/>
  <c r="C66" i="31"/>
  <c r="C67" i="31"/>
  <c r="C68" i="31"/>
  <c r="C69" i="31"/>
  <c r="C70" i="31"/>
  <c r="C71" i="31"/>
  <c r="C72" i="31"/>
  <c r="C73" i="31"/>
  <c r="C74" i="31"/>
  <c r="C75" i="31"/>
  <c r="C76" i="31"/>
  <c r="C77" i="31"/>
  <c r="C78" i="31"/>
  <c r="C79" i="31"/>
  <c r="C81" i="31"/>
  <c r="C82" i="31"/>
  <c r="C83" i="31"/>
  <c r="C84" i="31"/>
  <c r="C85" i="31"/>
  <c r="C86" i="31"/>
  <c r="C87" i="31"/>
  <c r="C88" i="31"/>
  <c r="C89" i="31"/>
  <c r="C90" i="31"/>
  <c r="C91" i="31"/>
  <c r="C92" i="31"/>
  <c r="C93" i="31"/>
  <c r="C94" i="31"/>
  <c r="C95" i="31"/>
  <c r="C96" i="31"/>
  <c r="C102" i="31"/>
  <c r="C103" i="31"/>
  <c r="C104" i="31"/>
  <c r="C105" i="31"/>
  <c r="C106" i="31"/>
  <c r="C109" i="31"/>
  <c r="C110" i="31"/>
  <c r="C111" i="31"/>
  <c r="C112" i="31"/>
  <c r="C114" i="31"/>
  <c r="C117" i="31"/>
  <c r="C118" i="31"/>
  <c r="C119" i="31"/>
  <c r="C120" i="31"/>
  <c r="C121" i="31"/>
  <c r="C122" i="31"/>
  <c r="C123" i="31"/>
  <c r="C124" i="31"/>
  <c r="C125" i="31"/>
  <c r="C126" i="31"/>
  <c r="C127" i="31"/>
  <c r="C129" i="31"/>
  <c r="C130" i="31"/>
  <c r="C131" i="31"/>
  <c r="C132" i="31"/>
  <c r="C133" i="31"/>
  <c r="C134" i="31"/>
  <c r="C135" i="31"/>
  <c r="C136" i="31"/>
  <c r="C137" i="31"/>
  <c r="C138" i="31"/>
  <c r="C139" i="31"/>
  <c r="C140" i="31"/>
  <c r="C141" i="31"/>
  <c r="C142" i="31"/>
  <c r="C143" i="31"/>
  <c r="C145" i="31"/>
  <c r="C146" i="31"/>
  <c r="C147" i="31"/>
  <c r="C148" i="31"/>
  <c r="C149" i="31"/>
  <c r="C150" i="31"/>
  <c r="C151" i="31"/>
  <c r="C152" i="31"/>
  <c r="C153" i="31"/>
  <c r="C155" i="31"/>
  <c r="C156" i="31"/>
  <c r="C157" i="31"/>
  <c r="C158" i="31"/>
  <c r="C159" i="31"/>
  <c r="C160" i="31"/>
  <c r="C35" i="31"/>
  <c r="C36" i="31"/>
  <c r="C37" i="31"/>
  <c r="C38" i="31"/>
  <c r="C39" i="31"/>
  <c r="C40" i="31"/>
  <c r="C41" i="31"/>
  <c r="C42" i="31"/>
  <c r="C43" i="31"/>
  <c r="C44" i="31"/>
  <c r="C45" i="31"/>
  <c r="C47" i="31"/>
  <c r="C48" i="31"/>
  <c r="C49" i="31"/>
  <c r="C50" i="31"/>
  <c r="C51" i="31"/>
  <c r="C52" i="31"/>
  <c r="C53" i="31"/>
  <c r="C54" i="31"/>
  <c r="C55" i="31"/>
  <c r="C56" i="31"/>
  <c r="C57" i="31"/>
  <c r="C58" i="31"/>
  <c r="C29" i="31"/>
  <c r="C30" i="31"/>
  <c r="C31" i="31"/>
  <c r="C32" i="31"/>
  <c r="C33" i="31"/>
  <c r="C21" i="31"/>
  <c r="C22" i="31"/>
  <c r="C23" i="31"/>
  <c r="C24" i="31"/>
  <c r="C25" i="31"/>
  <c r="C27" i="31"/>
  <c r="C20" i="31"/>
  <c r="C18" i="31"/>
  <c r="C17" i="31"/>
  <c r="C12" i="31"/>
  <c r="C13" i="31"/>
  <c r="C14" i="31"/>
  <c r="C27" i="32"/>
  <c r="C29" i="32"/>
  <c r="C30" i="32"/>
  <c r="C31" i="32"/>
  <c r="C32" i="32"/>
  <c r="C33" i="32"/>
  <c r="C35" i="32"/>
  <c r="C36" i="32"/>
  <c r="C37" i="32"/>
  <c r="C38" i="32"/>
  <c r="C39" i="32"/>
  <c r="C40" i="32"/>
  <c r="C41" i="32"/>
  <c r="C42" i="32"/>
  <c r="C43" i="32"/>
  <c r="C44" i="32"/>
  <c r="C45" i="32"/>
  <c r="C47" i="32"/>
  <c r="C48" i="32"/>
  <c r="C49" i="32"/>
  <c r="C50" i="32"/>
  <c r="C51" i="32"/>
  <c r="C52" i="32"/>
  <c r="C53" i="32"/>
  <c r="C54" i="32"/>
  <c r="C55" i="32"/>
  <c r="C56" i="32"/>
  <c r="C57" i="32"/>
  <c r="C58" i="32"/>
  <c r="C59" i="32"/>
  <c r="C60" i="32"/>
  <c r="C61" i="32"/>
  <c r="C62" i="32"/>
  <c r="C63" i="32"/>
  <c r="C65" i="32"/>
  <c r="C66" i="32"/>
  <c r="C67" i="32"/>
  <c r="C68" i="32"/>
  <c r="C69" i="32"/>
  <c r="C70" i="32"/>
  <c r="C71" i="32"/>
  <c r="C72" i="32"/>
  <c r="C73" i="32"/>
  <c r="C74" i="32"/>
  <c r="C75" i="32"/>
  <c r="C76" i="32"/>
  <c r="C77" i="32"/>
  <c r="C78" i="32"/>
  <c r="C79" i="32"/>
  <c r="C81" i="32"/>
  <c r="C82" i="32"/>
  <c r="C83" i="32"/>
  <c r="C84" i="32"/>
  <c r="C85" i="32"/>
  <c r="C86" i="32"/>
  <c r="C87" i="32"/>
  <c r="C88" i="32"/>
  <c r="C89" i="32"/>
  <c r="C90" i="32"/>
  <c r="C91" i="32"/>
  <c r="C92" i="32"/>
  <c r="C93" i="32"/>
  <c r="C94" i="32"/>
  <c r="C95" i="32"/>
  <c r="C96" i="32"/>
  <c r="C102" i="32"/>
  <c r="C103" i="32"/>
  <c r="C104" i="32"/>
  <c r="C105" i="32"/>
  <c r="C106" i="32"/>
  <c r="C109" i="32"/>
  <c r="C110" i="32"/>
  <c r="C111" i="32"/>
  <c r="C112" i="32"/>
  <c r="C114" i="32"/>
  <c r="C117" i="32"/>
  <c r="C118" i="32"/>
  <c r="C119" i="32"/>
  <c r="C120" i="32"/>
  <c r="C121" i="32"/>
  <c r="C122" i="32"/>
  <c r="C123" i="32"/>
  <c r="C124" i="32"/>
  <c r="C125" i="32"/>
  <c r="C126" i="32"/>
  <c r="C127" i="32"/>
  <c r="C129" i="32"/>
  <c r="C130" i="32"/>
  <c r="C131" i="32"/>
  <c r="C132" i="32"/>
  <c r="C133" i="32"/>
  <c r="C134" i="32"/>
  <c r="C135" i="32"/>
  <c r="C136" i="32"/>
  <c r="C137" i="32"/>
  <c r="C138" i="32"/>
  <c r="C139" i="32"/>
  <c r="C140" i="32"/>
  <c r="C141" i="32"/>
  <c r="C142" i="32"/>
  <c r="C143" i="32"/>
  <c r="C145" i="32"/>
  <c r="C146" i="32"/>
  <c r="C147" i="32"/>
  <c r="C148" i="32"/>
  <c r="C149" i="32"/>
  <c r="C150" i="32"/>
  <c r="C151" i="32"/>
  <c r="C152" i="32"/>
  <c r="C155" i="32"/>
  <c r="C156" i="32"/>
  <c r="C157" i="32"/>
  <c r="C158" i="32"/>
  <c r="C159" i="32"/>
  <c r="C160" i="32"/>
  <c r="C18" i="32"/>
  <c r="C20" i="32"/>
  <c r="C21" i="32"/>
  <c r="C22" i="32"/>
  <c r="C23" i="32"/>
  <c r="C24" i="32"/>
  <c r="C25" i="32"/>
  <c r="C12" i="32"/>
  <c r="C13" i="32"/>
  <c r="C14" i="32"/>
  <c r="C17" i="32"/>
  <c r="C17" i="33"/>
  <c r="C18" i="33"/>
  <c r="C20" i="33"/>
  <c r="C21" i="33"/>
  <c r="C22" i="33"/>
  <c r="C23" i="33"/>
  <c r="C24" i="33"/>
  <c r="C25" i="33"/>
  <c r="C27" i="33"/>
  <c r="C29" i="33"/>
  <c r="C30" i="33"/>
  <c r="C31" i="33"/>
  <c r="C32" i="33"/>
  <c r="C33" i="33"/>
  <c r="C35" i="33"/>
  <c r="C36" i="33"/>
  <c r="C37" i="33"/>
  <c r="C38" i="33"/>
  <c r="C39" i="33"/>
  <c r="C40" i="33"/>
  <c r="C41" i="33"/>
  <c r="C42" i="33"/>
  <c r="C43" i="33"/>
  <c r="C44" i="33"/>
  <c r="C45" i="33"/>
  <c r="C47" i="33"/>
  <c r="C48" i="33"/>
  <c r="C49" i="33"/>
  <c r="C50" i="33"/>
  <c r="C51" i="33"/>
  <c r="C52" i="33"/>
  <c r="C53" i="33"/>
  <c r="C54" i="33"/>
  <c r="C55" i="33"/>
  <c r="C56" i="33"/>
  <c r="C57" i="33"/>
  <c r="C58" i="33"/>
  <c r="C59" i="33"/>
  <c r="C60" i="33"/>
  <c r="C61" i="33"/>
  <c r="C62" i="33"/>
  <c r="C63" i="33"/>
  <c r="C65" i="33"/>
  <c r="C66" i="33"/>
  <c r="C67" i="33"/>
  <c r="C68" i="33"/>
  <c r="C69" i="33"/>
  <c r="C70" i="33"/>
  <c r="C71" i="33"/>
  <c r="C72" i="33"/>
  <c r="C73" i="33"/>
  <c r="C74" i="33"/>
  <c r="C75" i="33"/>
  <c r="C76" i="33"/>
  <c r="C77" i="33"/>
  <c r="C78" i="33"/>
  <c r="C79" i="33"/>
  <c r="C81" i="33"/>
  <c r="C82" i="33"/>
  <c r="C83" i="33"/>
  <c r="C84" i="33"/>
  <c r="C85" i="33"/>
  <c r="C86" i="33"/>
  <c r="C87" i="33"/>
  <c r="C88" i="33"/>
  <c r="C89" i="33"/>
  <c r="C90" i="33"/>
  <c r="C91" i="33"/>
  <c r="C92" i="33"/>
  <c r="C93" i="33"/>
  <c r="C94" i="33"/>
  <c r="C95" i="33"/>
  <c r="C96" i="33"/>
  <c r="C102" i="33"/>
  <c r="C103" i="33"/>
  <c r="C104" i="33"/>
  <c r="C105" i="33"/>
  <c r="C106" i="33"/>
  <c r="C109" i="33"/>
  <c r="C110" i="33"/>
  <c r="C111" i="33"/>
  <c r="C112" i="33"/>
  <c r="C114" i="33"/>
  <c r="C117" i="33"/>
  <c r="C118" i="33"/>
  <c r="C119" i="33"/>
  <c r="C120" i="33"/>
  <c r="C121" i="33"/>
  <c r="C122" i="33"/>
  <c r="C123" i="33"/>
  <c r="C124" i="33"/>
  <c r="C125" i="33"/>
  <c r="C126" i="33"/>
  <c r="C127" i="33"/>
  <c r="C129" i="33"/>
  <c r="C130" i="33"/>
  <c r="C131" i="33"/>
  <c r="C132" i="33"/>
  <c r="C133" i="33"/>
  <c r="C134" i="33"/>
  <c r="C135" i="33"/>
  <c r="C136" i="33"/>
  <c r="C137" i="33"/>
  <c r="C138" i="33"/>
  <c r="C139" i="33"/>
  <c r="C140" i="33"/>
  <c r="C141" i="33"/>
  <c r="C142" i="33"/>
  <c r="C143" i="33"/>
  <c r="C145" i="33"/>
  <c r="C146" i="33"/>
  <c r="C147" i="33"/>
  <c r="C148" i="33"/>
  <c r="C149" i="33"/>
  <c r="C150" i="33"/>
  <c r="C151" i="33"/>
  <c r="C152" i="33"/>
  <c r="C155" i="33"/>
  <c r="C156" i="33"/>
  <c r="C157" i="33"/>
  <c r="C158" i="33"/>
  <c r="C159" i="33"/>
  <c r="C160" i="33"/>
  <c r="C12" i="33"/>
  <c r="C13" i="33"/>
  <c r="C14" i="33"/>
  <c r="C11" i="33"/>
  <c r="C11" i="32"/>
  <c r="C11" i="31"/>
  <c r="C11" i="30"/>
  <c r="C11" i="29"/>
  <c r="C11" i="28"/>
  <c r="C11" i="27"/>
  <c r="C12" i="26"/>
  <c r="C13" i="26"/>
  <c r="C14" i="26"/>
  <c r="C17" i="26"/>
  <c r="C18" i="26"/>
  <c r="C20" i="26"/>
  <c r="C21" i="26"/>
  <c r="C22" i="26"/>
  <c r="C23" i="26"/>
  <c r="C24" i="26"/>
  <c r="C25" i="26"/>
  <c r="C27" i="26"/>
  <c r="C29" i="26"/>
  <c r="C30" i="26"/>
  <c r="C31" i="26"/>
  <c r="C32" i="26"/>
  <c r="C33" i="26"/>
  <c r="C35" i="26"/>
  <c r="C36" i="26"/>
  <c r="C37" i="26"/>
  <c r="C38" i="26"/>
  <c r="C39" i="26"/>
  <c r="C40" i="26"/>
  <c r="C41" i="26"/>
  <c r="C47" i="26"/>
  <c r="C48" i="26"/>
  <c r="C49" i="26"/>
  <c r="C50" i="26"/>
  <c r="C51" i="26"/>
  <c r="C52" i="26"/>
  <c r="C53" i="26"/>
  <c r="C54" i="26"/>
  <c r="C55" i="26"/>
  <c r="C56" i="26"/>
  <c r="C57" i="26"/>
  <c r="C58" i="26"/>
  <c r="C59" i="26"/>
  <c r="C60" i="26"/>
  <c r="C61" i="26"/>
  <c r="C63" i="26"/>
  <c r="C65" i="26"/>
  <c r="C66" i="26"/>
  <c r="C67" i="26"/>
  <c r="C68" i="26"/>
  <c r="C69" i="26"/>
  <c r="C70" i="26"/>
  <c r="C71" i="26"/>
  <c r="C72" i="26"/>
  <c r="C73" i="26"/>
  <c r="C74" i="26"/>
  <c r="C75" i="26"/>
  <c r="C76" i="26"/>
  <c r="C77" i="26"/>
  <c r="C78" i="26"/>
  <c r="C79" i="26"/>
  <c r="C81" i="26"/>
  <c r="C82" i="26"/>
  <c r="C83" i="26"/>
  <c r="C84" i="26"/>
  <c r="C85" i="26"/>
  <c r="C86" i="26"/>
  <c r="C87" i="26"/>
  <c r="C88" i="26"/>
  <c r="C89" i="26"/>
  <c r="C90" i="26"/>
  <c r="C91" i="26"/>
  <c r="C92" i="26"/>
  <c r="C93" i="26"/>
  <c r="C94" i="26"/>
  <c r="C95" i="26"/>
  <c r="C96" i="26"/>
  <c r="C102" i="26"/>
  <c r="C103" i="26"/>
  <c r="C104" i="26"/>
  <c r="C105" i="26"/>
  <c r="C106" i="26"/>
  <c r="C109" i="26"/>
  <c r="C110" i="26"/>
  <c r="C111" i="26"/>
  <c r="C112" i="26"/>
  <c r="C114" i="26"/>
  <c r="C117" i="26"/>
  <c r="C118" i="26"/>
  <c r="C119" i="26"/>
  <c r="C120" i="26"/>
  <c r="C121" i="26"/>
  <c r="C122" i="26"/>
  <c r="C123" i="26"/>
  <c r="C124" i="26"/>
  <c r="C125" i="26"/>
  <c r="C126" i="26"/>
  <c r="C127" i="26"/>
  <c r="C129" i="26"/>
  <c r="C130" i="26"/>
  <c r="C131" i="26"/>
  <c r="C132" i="26"/>
  <c r="C133" i="26"/>
  <c r="C134" i="26"/>
  <c r="C135" i="26"/>
  <c r="C136" i="26"/>
  <c r="C137" i="26"/>
  <c r="C138" i="26"/>
  <c r="C139" i="26"/>
  <c r="C140" i="26"/>
  <c r="C141" i="26"/>
  <c r="C142" i="26"/>
  <c r="C143" i="26"/>
  <c r="C145" i="26"/>
  <c r="C146" i="26"/>
  <c r="C147" i="26"/>
  <c r="C148" i="26"/>
  <c r="C149" i="26"/>
  <c r="C150" i="26"/>
  <c r="C151" i="26"/>
  <c r="C152" i="26"/>
  <c r="C153" i="26"/>
  <c r="C155" i="26"/>
  <c r="C156" i="26"/>
  <c r="C157" i="26"/>
  <c r="C158" i="26"/>
  <c r="C159" i="26"/>
  <c r="C160" i="26"/>
  <c r="C11" i="26"/>
  <c r="G1079" i="13" l="1"/>
  <c r="G383" i="13"/>
  <c r="G386" i="13" s="1"/>
  <c r="A355" i="13"/>
  <c r="B355" i="13"/>
  <c r="F376" i="13"/>
  <c r="F369" i="13"/>
  <c r="G369" i="13" s="1"/>
  <c r="G368" i="13"/>
  <c r="G361" i="13"/>
  <c r="G360" i="13"/>
  <c r="G359" i="13"/>
  <c r="G363" i="13" l="1"/>
  <c r="N18" i="33" l="1"/>
  <c r="G158" i="33"/>
  <c r="J158" i="33"/>
  <c r="N158" i="33"/>
  <c r="G159" i="33"/>
  <c r="J159" i="33"/>
  <c r="N159" i="33"/>
  <c r="G160" i="33"/>
  <c r="J160" i="33"/>
  <c r="N160" i="33"/>
  <c r="G146" i="33"/>
  <c r="J146" i="33"/>
  <c r="N146" i="33"/>
  <c r="G147" i="33"/>
  <c r="H147" i="33"/>
  <c r="I147" i="33"/>
  <c r="J147" i="33"/>
  <c r="K147" i="33"/>
  <c r="L147" i="33"/>
  <c r="M147" i="33"/>
  <c r="N147" i="33"/>
  <c r="G148" i="33"/>
  <c r="H148" i="33"/>
  <c r="I148" i="33"/>
  <c r="J148" i="33"/>
  <c r="K148" i="33"/>
  <c r="L148" i="33"/>
  <c r="M148" i="33"/>
  <c r="N148" i="33"/>
  <c r="G149" i="33"/>
  <c r="H149" i="33"/>
  <c r="I149" i="33"/>
  <c r="J149" i="33"/>
  <c r="K149" i="33"/>
  <c r="L149" i="33"/>
  <c r="M149" i="33"/>
  <c r="N149" i="33"/>
  <c r="G150" i="33"/>
  <c r="H150" i="33"/>
  <c r="I150" i="33"/>
  <c r="J150" i="33"/>
  <c r="K150" i="33"/>
  <c r="L150" i="33"/>
  <c r="M150" i="33"/>
  <c r="G151" i="33"/>
  <c r="H151" i="33"/>
  <c r="I151" i="33"/>
  <c r="J151" i="33"/>
  <c r="K151" i="33"/>
  <c r="L151" i="33"/>
  <c r="M151" i="33"/>
  <c r="G152" i="33"/>
  <c r="H152" i="33"/>
  <c r="I152" i="33"/>
  <c r="J152" i="33"/>
  <c r="K152" i="33"/>
  <c r="L152" i="33"/>
  <c r="M152" i="33"/>
  <c r="G153" i="33"/>
  <c r="J153" i="33"/>
  <c r="G155" i="33"/>
  <c r="J155" i="33"/>
  <c r="N155" i="33"/>
  <c r="G156" i="33"/>
  <c r="J156" i="33"/>
  <c r="N156" i="33"/>
  <c r="G157" i="33"/>
  <c r="J157" i="33"/>
  <c r="N157" i="33"/>
  <c r="J145" i="33"/>
  <c r="N145" i="33"/>
  <c r="G145" i="33"/>
  <c r="J118" i="33"/>
  <c r="K118" i="33"/>
  <c r="L118" i="33"/>
  <c r="M118" i="33"/>
  <c r="J117" i="33"/>
  <c r="K117" i="33"/>
  <c r="L117" i="33"/>
  <c r="M117" i="33"/>
  <c r="N117" i="33"/>
  <c r="G117" i="33"/>
  <c r="G146" i="32"/>
  <c r="J146" i="32"/>
  <c r="N146" i="32"/>
  <c r="G147" i="32"/>
  <c r="H147" i="32"/>
  <c r="I147" i="32"/>
  <c r="J147" i="32"/>
  <c r="K147" i="32"/>
  <c r="L147" i="32"/>
  <c r="M147" i="32"/>
  <c r="N147" i="32"/>
  <c r="G148" i="32"/>
  <c r="H148" i="32"/>
  <c r="I148" i="32"/>
  <c r="J148" i="32"/>
  <c r="K148" i="32"/>
  <c r="L148" i="32"/>
  <c r="M148" i="32"/>
  <c r="N148" i="32"/>
  <c r="G149" i="32"/>
  <c r="H149" i="32"/>
  <c r="I149" i="32"/>
  <c r="J149" i="32"/>
  <c r="K149" i="32"/>
  <c r="L149" i="32"/>
  <c r="M149" i="32"/>
  <c r="N149" i="32"/>
  <c r="G150" i="32"/>
  <c r="H150" i="32"/>
  <c r="I150" i="32"/>
  <c r="J150" i="32"/>
  <c r="K150" i="32"/>
  <c r="L150" i="32"/>
  <c r="M150" i="32"/>
  <c r="N150" i="32"/>
  <c r="G151" i="32"/>
  <c r="H151" i="32"/>
  <c r="I151" i="32"/>
  <c r="J151" i="32"/>
  <c r="K151" i="32"/>
  <c r="L151" i="32"/>
  <c r="M151" i="32"/>
  <c r="N151" i="32"/>
  <c r="G152" i="32"/>
  <c r="H152" i="32"/>
  <c r="I152" i="32"/>
  <c r="J152" i="32"/>
  <c r="K152" i="32"/>
  <c r="L152" i="32"/>
  <c r="M152" i="32"/>
  <c r="J153" i="32"/>
  <c r="N153" i="32"/>
  <c r="P153" i="32" s="1"/>
  <c r="G155" i="32"/>
  <c r="J155" i="32"/>
  <c r="N155" i="32"/>
  <c r="G156" i="32"/>
  <c r="J156" i="32"/>
  <c r="N156" i="32"/>
  <c r="G157" i="32"/>
  <c r="J157" i="32"/>
  <c r="N157" i="32"/>
  <c r="G158" i="32"/>
  <c r="J158" i="32"/>
  <c r="G159" i="32"/>
  <c r="J159" i="32"/>
  <c r="G160" i="32"/>
  <c r="J160" i="32"/>
  <c r="J145" i="32"/>
  <c r="G145" i="32"/>
  <c r="G140" i="32"/>
  <c r="H140" i="32"/>
  <c r="I140" i="32"/>
  <c r="J140" i="32"/>
  <c r="K140" i="32"/>
  <c r="L140" i="32"/>
  <c r="M140" i="32"/>
  <c r="G141" i="32"/>
  <c r="H141" i="32"/>
  <c r="I141" i="32"/>
  <c r="J141" i="32"/>
  <c r="K141" i="32"/>
  <c r="L141" i="32"/>
  <c r="M141" i="32"/>
  <c r="N141" i="32"/>
  <c r="G142" i="32"/>
  <c r="H142" i="32"/>
  <c r="I142" i="32"/>
  <c r="J142" i="32"/>
  <c r="K142" i="32"/>
  <c r="L142" i="32"/>
  <c r="M142" i="32"/>
  <c r="N142" i="32"/>
  <c r="G143" i="32"/>
  <c r="H143" i="32"/>
  <c r="I143" i="32"/>
  <c r="J143" i="32"/>
  <c r="K143" i="32"/>
  <c r="L143" i="32"/>
  <c r="M143" i="32"/>
  <c r="N143" i="32"/>
  <c r="G118" i="32"/>
  <c r="J118" i="32"/>
  <c r="N118" i="32"/>
  <c r="G119" i="32"/>
  <c r="H119" i="32"/>
  <c r="I119" i="32"/>
  <c r="J119" i="32"/>
  <c r="K119" i="32"/>
  <c r="L119" i="32"/>
  <c r="M119" i="32"/>
  <c r="N119" i="32"/>
  <c r="G120" i="32"/>
  <c r="H120" i="32"/>
  <c r="I120" i="32"/>
  <c r="J120" i="32"/>
  <c r="K120" i="32"/>
  <c r="L120" i="32"/>
  <c r="M120" i="32"/>
  <c r="N120" i="32"/>
  <c r="G121" i="32"/>
  <c r="J121" i="32"/>
  <c r="N121" i="32"/>
  <c r="G122" i="32"/>
  <c r="H122" i="32"/>
  <c r="I122" i="32"/>
  <c r="J122" i="32"/>
  <c r="K122" i="32"/>
  <c r="L122" i="32"/>
  <c r="M122" i="32"/>
  <c r="N122" i="32"/>
  <c r="G123" i="32"/>
  <c r="H123" i="32"/>
  <c r="I123" i="32"/>
  <c r="J123" i="32"/>
  <c r="K123" i="32"/>
  <c r="L123" i="32"/>
  <c r="M123" i="32"/>
  <c r="N123" i="32"/>
  <c r="G124" i="32"/>
  <c r="H124" i="32"/>
  <c r="I124" i="32"/>
  <c r="J124" i="32"/>
  <c r="K124" i="32"/>
  <c r="L124" i="32"/>
  <c r="M124" i="32"/>
  <c r="N124" i="32"/>
  <c r="G125" i="32"/>
  <c r="H125" i="32"/>
  <c r="I125" i="32"/>
  <c r="J125" i="32"/>
  <c r="K125" i="32"/>
  <c r="L125" i="32"/>
  <c r="M125" i="32"/>
  <c r="N125" i="32"/>
  <c r="G126" i="32"/>
  <c r="H126" i="32"/>
  <c r="I126" i="32"/>
  <c r="J126" i="32"/>
  <c r="K126" i="32"/>
  <c r="L126" i="32"/>
  <c r="M126" i="32"/>
  <c r="N126" i="32"/>
  <c r="G127" i="32"/>
  <c r="H127" i="32"/>
  <c r="I127" i="32"/>
  <c r="J127" i="32"/>
  <c r="K127" i="32"/>
  <c r="L127" i="32"/>
  <c r="M127" i="32"/>
  <c r="N127" i="32"/>
  <c r="G129" i="32"/>
  <c r="H129" i="32"/>
  <c r="I129" i="32"/>
  <c r="J129" i="32"/>
  <c r="K129" i="32"/>
  <c r="L129" i="32"/>
  <c r="M129" i="32"/>
  <c r="N129" i="32"/>
  <c r="G130" i="32"/>
  <c r="H130" i="32"/>
  <c r="I130" i="32"/>
  <c r="J130" i="32"/>
  <c r="K130" i="32"/>
  <c r="L130" i="32"/>
  <c r="M130" i="32"/>
  <c r="N130" i="32"/>
  <c r="G131" i="32"/>
  <c r="H131" i="32"/>
  <c r="I131" i="32"/>
  <c r="J131" i="32"/>
  <c r="K131" i="32"/>
  <c r="L131" i="32"/>
  <c r="M131" i="32"/>
  <c r="N131" i="32"/>
  <c r="G132" i="32"/>
  <c r="H132" i="32"/>
  <c r="I132" i="32"/>
  <c r="J132" i="32"/>
  <c r="K132" i="32"/>
  <c r="L132" i="32"/>
  <c r="M132" i="32"/>
  <c r="N132" i="32"/>
  <c r="G133" i="32"/>
  <c r="H133" i="32"/>
  <c r="I133" i="32"/>
  <c r="J133" i="32"/>
  <c r="K133" i="32"/>
  <c r="L133" i="32"/>
  <c r="M133" i="32"/>
  <c r="N133" i="32"/>
  <c r="G134" i="32"/>
  <c r="H134" i="32"/>
  <c r="I134" i="32"/>
  <c r="J134" i="32"/>
  <c r="K134" i="32"/>
  <c r="L134" i="32"/>
  <c r="M134" i="32"/>
  <c r="N134" i="32"/>
  <c r="G135" i="32"/>
  <c r="H135" i="32"/>
  <c r="I135" i="32"/>
  <c r="J135" i="32"/>
  <c r="K135" i="32"/>
  <c r="L135" i="32"/>
  <c r="M135" i="32"/>
  <c r="N135" i="32"/>
  <c r="G136" i="32"/>
  <c r="H136" i="32"/>
  <c r="I136" i="32"/>
  <c r="J136" i="32"/>
  <c r="K136" i="32"/>
  <c r="L136" i="32"/>
  <c r="M136" i="32"/>
  <c r="N136" i="32"/>
  <c r="G137" i="32"/>
  <c r="H137" i="32"/>
  <c r="I137" i="32"/>
  <c r="J137" i="32"/>
  <c r="K137" i="32"/>
  <c r="L137" i="32"/>
  <c r="M137" i="32"/>
  <c r="N137" i="32"/>
  <c r="G138" i="32"/>
  <c r="H138" i="32"/>
  <c r="I138" i="32"/>
  <c r="J138" i="32"/>
  <c r="K138" i="32"/>
  <c r="L138" i="32"/>
  <c r="M138" i="32"/>
  <c r="N138" i="32"/>
  <c r="G139" i="32"/>
  <c r="H139" i="32"/>
  <c r="I139" i="32"/>
  <c r="J139" i="32"/>
  <c r="K139" i="32"/>
  <c r="L139" i="32"/>
  <c r="M139" i="32"/>
  <c r="N139" i="32"/>
  <c r="J117" i="32"/>
  <c r="N117" i="32"/>
  <c r="G117" i="32"/>
  <c r="G158" i="31"/>
  <c r="J158" i="31"/>
  <c r="G159" i="31"/>
  <c r="J159" i="31"/>
  <c r="G160" i="31"/>
  <c r="J160" i="31"/>
  <c r="G146" i="31"/>
  <c r="J146" i="31"/>
  <c r="N146" i="31"/>
  <c r="G147" i="31"/>
  <c r="H147" i="31"/>
  <c r="I147" i="31"/>
  <c r="J147" i="31"/>
  <c r="K147" i="31"/>
  <c r="L147" i="31"/>
  <c r="M147" i="31"/>
  <c r="N147" i="31"/>
  <c r="G148" i="31"/>
  <c r="H148" i="31"/>
  <c r="I148" i="31"/>
  <c r="J148" i="31"/>
  <c r="K148" i="31"/>
  <c r="L148" i="31"/>
  <c r="M148" i="31"/>
  <c r="N148" i="31"/>
  <c r="G149" i="31"/>
  <c r="H149" i="31"/>
  <c r="I149" i="31"/>
  <c r="J149" i="31"/>
  <c r="K149" i="31"/>
  <c r="L149" i="31"/>
  <c r="M149" i="31"/>
  <c r="N149" i="31"/>
  <c r="G150" i="31"/>
  <c r="H150" i="31"/>
  <c r="I150" i="31"/>
  <c r="J150" i="31"/>
  <c r="K150" i="31"/>
  <c r="L150" i="31"/>
  <c r="M150" i="31"/>
  <c r="N150" i="31"/>
  <c r="G151" i="31"/>
  <c r="H151" i="31"/>
  <c r="I151" i="31"/>
  <c r="J151" i="31"/>
  <c r="K151" i="31"/>
  <c r="L151" i="31"/>
  <c r="M151" i="31"/>
  <c r="N151" i="31"/>
  <c r="G152" i="31"/>
  <c r="H152" i="31"/>
  <c r="I152" i="31"/>
  <c r="J152" i="31"/>
  <c r="K152" i="31"/>
  <c r="L152" i="31"/>
  <c r="M152" i="31"/>
  <c r="J153" i="31"/>
  <c r="N153" i="31"/>
  <c r="G155" i="31"/>
  <c r="J155" i="31"/>
  <c r="N155" i="31"/>
  <c r="G156" i="31"/>
  <c r="J156" i="31"/>
  <c r="G157" i="31"/>
  <c r="J157" i="31"/>
  <c r="J145" i="31"/>
  <c r="G145" i="31"/>
  <c r="G137" i="31"/>
  <c r="H137" i="31"/>
  <c r="I137" i="31"/>
  <c r="J137" i="31"/>
  <c r="K137" i="31"/>
  <c r="L137" i="31"/>
  <c r="M137" i="31"/>
  <c r="N137" i="31"/>
  <c r="G138" i="31"/>
  <c r="H138" i="31"/>
  <c r="I138" i="31"/>
  <c r="J138" i="31"/>
  <c r="K138" i="31"/>
  <c r="L138" i="31"/>
  <c r="M138" i="31"/>
  <c r="N138" i="31"/>
  <c r="G139" i="31"/>
  <c r="H139" i="31"/>
  <c r="I139" i="31"/>
  <c r="J139" i="31"/>
  <c r="K139" i="31"/>
  <c r="L139" i="31"/>
  <c r="M139" i="31"/>
  <c r="N139" i="31"/>
  <c r="G140" i="31"/>
  <c r="H140" i="31"/>
  <c r="I140" i="31"/>
  <c r="J140" i="31"/>
  <c r="K140" i="31"/>
  <c r="L140" i="31"/>
  <c r="M140" i="31"/>
  <c r="N140" i="31"/>
  <c r="G141" i="31"/>
  <c r="H141" i="31"/>
  <c r="I141" i="31"/>
  <c r="J141" i="31"/>
  <c r="K141" i="31"/>
  <c r="L141" i="31"/>
  <c r="M141" i="31"/>
  <c r="N141" i="31"/>
  <c r="G142" i="31"/>
  <c r="H142" i="31"/>
  <c r="I142" i="31"/>
  <c r="J142" i="31"/>
  <c r="K142" i="31"/>
  <c r="L142" i="31"/>
  <c r="M142" i="31"/>
  <c r="N142" i="31"/>
  <c r="G143" i="31"/>
  <c r="H143" i="31"/>
  <c r="I143" i="31"/>
  <c r="J143" i="31"/>
  <c r="K143" i="31"/>
  <c r="L143" i="31"/>
  <c r="M143" i="31"/>
  <c r="N143" i="31"/>
  <c r="G118" i="31"/>
  <c r="J118" i="31"/>
  <c r="N118" i="31"/>
  <c r="G119" i="31"/>
  <c r="H119" i="31"/>
  <c r="I119" i="31"/>
  <c r="J119" i="31"/>
  <c r="K119" i="31"/>
  <c r="L119" i="31"/>
  <c r="M119" i="31"/>
  <c r="N119" i="31"/>
  <c r="G120" i="31"/>
  <c r="H120" i="31"/>
  <c r="I120" i="31"/>
  <c r="J120" i="31"/>
  <c r="K120" i="31"/>
  <c r="L120" i="31"/>
  <c r="M120" i="31"/>
  <c r="N120" i="31"/>
  <c r="G121" i="31"/>
  <c r="J121" i="31"/>
  <c r="N121" i="31"/>
  <c r="G122" i="31"/>
  <c r="H122" i="31"/>
  <c r="I122" i="31"/>
  <c r="J122" i="31"/>
  <c r="K122" i="31"/>
  <c r="L122" i="31"/>
  <c r="M122" i="31"/>
  <c r="N122" i="31"/>
  <c r="G123" i="31"/>
  <c r="H123" i="31"/>
  <c r="I123" i="31"/>
  <c r="J123" i="31"/>
  <c r="K123" i="31"/>
  <c r="L123" i="31"/>
  <c r="M123" i="31"/>
  <c r="N123" i="31"/>
  <c r="G124" i="31"/>
  <c r="H124" i="31"/>
  <c r="I124" i="31"/>
  <c r="J124" i="31"/>
  <c r="K124" i="31"/>
  <c r="L124" i="31"/>
  <c r="M124" i="31"/>
  <c r="N124" i="31"/>
  <c r="G125" i="31"/>
  <c r="H125" i="31"/>
  <c r="I125" i="31"/>
  <c r="J125" i="31"/>
  <c r="K125" i="31"/>
  <c r="L125" i="31"/>
  <c r="M125" i="31"/>
  <c r="N125" i="31"/>
  <c r="G126" i="31"/>
  <c r="H126" i="31"/>
  <c r="I126" i="31"/>
  <c r="J126" i="31"/>
  <c r="K126" i="31"/>
  <c r="L126" i="31"/>
  <c r="M126" i="31"/>
  <c r="N126" i="31"/>
  <c r="G127" i="31"/>
  <c r="H127" i="31"/>
  <c r="I127" i="31"/>
  <c r="J127" i="31"/>
  <c r="K127" i="31"/>
  <c r="L127" i="31"/>
  <c r="M127" i="31"/>
  <c r="N127" i="31"/>
  <c r="G129" i="31"/>
  <c r="H129" i="31"/>
  <c r="I129" i="31"/>
  <c r="J129" i="31"/>
  <c r="K129" i="31"/>
  <c r="L129" i="31"/>
  <c r="M129" i="31"/>
  <c r="N129" i="31"/>
  <c r="G130" i="31"/>
  <c r="H130" i="31"/>
  <c r="I130" i="31"/>
  <c r="J130" i="31"/>
  <c r="K130" i="31"/>
  <c r="L130" i="31"/>
  <c r="M130" i="31"/>
  <c r="N130" i="31"/>
  <c r="G131" i="31"/>
  <c r="H131" i="31"/>
  <c r="I131" i="31"/>
  <c r="J131" i="31"/>
  <c r="K131" i="31"/>
  <c r="L131" i="31"/>
  <c r="M131" i="31"/>
  <c r="N131" i="31"/>
  <c r="G132" i="31"/>
  <c r="H132" i="31"/>
  <c r="I132" i="31"/>
  <c r="J132" i="31"/>
  <c r="K132" i="31"/>
  <c r="L132" i="31"/>
  <c r="M132" i="31"/>
  <c r="N132" i="31"/>
  <c r="G133" i="31"/>
  <c r="H133" i="31"/>
  <c r="I133" i="31"/>
  <c r="J133" i="31"/>
  <c r="K133" i="31"/>
  <c r="L133" i="31"/>
  <c r="M133" i="31"/>
  <c r="N133" i="31"/>
  <c r="G134" i="31"/>
  <c r="H134" i="31"/>
  <c r="I134" i="31"/>
  <c r="J134" i="31"/>
  <c r="K134" i="31"/>
  <c r="L134" i="31"/>
  <c r="M134" i="31"/>
  <c r="N134" i="31"/>
  <c r="G135" i="31"/>
  <c r="H135" i="31"/>
  <c r="I135" i="31"/>
  <c r="J135" i="31"/>
  <c r="K135" i="31"/>
  <c r="L135" i="31"/>
  <c r="M135" i="31"/>
  <c r="N135" i="31"/>
  <c r="G136" i="31"/>
  <c r="H136" i="31"/>
  <c r="I136" i="31"/>
  <c r="J136" i="31"/>
  <c r="K136" i="31"/>
  <c r="L136" i="31"/>
  <c r="M136" i="31"/>
  <c r="N136" i="31"/>
  <c r="J117" i="31"/>
  <c r="N117" i="31"/>
  <c r="G117" i="31"/>
  <c r="G159" i="30"/>
  <c r="J159" i="30"/>
  <c r="G160" i="30"/>
  <c r="J160" i="30"/>
  <c r="G146" i="30"/>
  <c r="J146" i="30"/>
  <c r="G147" i="30"/>
  <c r="H147" i="30"/>
  <c r="I147" i="30"/>
  <c r="J147" i="30"/>
  <c r="K147" i="30"/>
  <c r="L147" i="30"/>
  <c r="M147" i="30"/>
  <c r="N147" i="30"/>
  <c r="G148" i="30"/>
  <c r="H148" i="30"/>
  <c r="I148" i="30"/>
  <c r="J148" i="30"/>
  <c r="K148" i="30"/>
  <c r="L148" i="30"/>
  <c r="M148" i="30"/>
  <c r="N148" i="30"/>
  <c r="G149" i="30"/>
  <c r="H149" i="30"/>
  <c r="I149" i="30"/>
  <c r="J149" i="30"/>
  <c r="K149" i="30"/>
  <c r="L149" i="30"/>
  <c r="M149" i="30"/>
  <c r="N149" i="30"/>
  <c r="G150" i="30"/>
  <c r="H150" i="30"/>
  <c r="I150" i="30"/>
  <c r="J150" i="30"/>
  <c r="K150" i="30"/>
  <c r="L150" i="30"/>
  <c r="M150" i="30"/>
  <c r="N150" i="30"/>
  <c r="G151" i="30"/>
  <c r="H151" i="30"/>
  <c r="I151" i="30"/>
  <c r="J151" i="30"/>
  <c r="K151" i="30"/>
  <c r="L151" i="30"/>
  <c r="M151" i="30"/>
  <c r="N151" i="30"/>
  <c r="G152" i="30"/>
  <c r="H152" i="30"/>
  <c r="I152" i="30"/>
  <c r="J152" i="30"/>
  <c r="K152" i="30"/>
  <c r="L152" i="30"/>
  <c r="M152" i="30"/>
  <c r="G154" i="30"/>
  <c r="J154" i="30"/>
  <c r="N154" i="30"/>
  <c r="G155" i="30"/>
  <c r="J155" i="30"/>
  <c r="N155" i="30"/>
  <c r="G156" i="30"/>
  <c r="J156" i="30"/>
  <c r="G157" i="30"/>
  <c r="J157" i="30"/>
  <c r="G158" i="30"/>
  <c r="J158" i="30"/>
  <c r="J145" i="30"/>
  <c r="G145" i="30"/>
  <c r="G118" i="30"/>
  <c r="J118" i="30"/>
  <c r="N118" i="30"/>
  <c r="G119" i="30"/>
  <c r="H119" i="30"/>
  <c r="I119" i="30"/>
  <c r="J119" i="30"/>
  <c r="K119" i="30"/>
  <c r="L119" i="30"/>
  <c r="M119" i="30"/>
  <c r="N119" i="30"/>
  <c r="G120" i="30"/>
  <c r="H120" i="30"/>
  <c r="I120" i="30"/>
  <c r="J120" i="30"/>
  <c r="K120" i="30"/>
  <c r="L120" i="30"/>
  <c r="M120" i="30"/>
  <c r="N120" i="30"/>
  <c r="G121" i="30"/>
  <c r="J121" i="30"/>
  <c r="N121" i="30"/>
  <c r="G122" i="30"/>
  <c r="H122" i="30"/>
  <c r="I122" i="30"/>
  <c r="J122" i="30"/>
  <c r="K122" i="30"/>
  <c r="L122" i="30"/>
  <c r="M122" i="30"/>
  <c r="N122" i="30"/>
  <c r="G123" i="30"/>
  <c r="H123" i="30"/>
  <c r="I123" i="30"/>
  <c r="J123" i="30"/>
  <c r="K123" i="30"/>
  <c r="L123" i="30"/>
  <c r="M123" i="30"/>
  <c r="N123" i="30"/>
  <c r="G124" i="30"/>
  <c r="H124" i="30"/>
  <c r="I124" i="30"/>
  <c r="J124" i="30"/>
  <c r="K124" i="30"/>
  <c r="L124" i="30"/>
  <c r="M124" i="30"/>
  <c r="N124" i="30"/>
  <c r="G125" i="30"/>
  <c r="H125" i="30"/>
  <c r="I125" i="30"/>
  <c r="J125" i="30"/>
  <c r="K125" i="30"/>
  <c r="L125" i="30"/>
  <c r="M125" i="30"/>
  <c r="N125" i="30"/>
  <c r="G126" i="30"/>
  <c r="H126" i="30"/>
  <c r="I126" i="30"/>
  <c r="J126" i="30"/>
  <c r="K126" i="30"/>
  <c r="L126" i="30"/>
  <c r="M126" i="30"/>
  <c r="N126" i="30"/>
  <c r="G127" i="30"/>
  <c r="H127" i="30"/>
  <c r="I127" i="30"/>
  <c r="J127" i="30"/>
  <c r="K127" i="30"/>
  <c r="L127" i="30"/>
  <c r="M127" i="30"/>
  <c r="N127" i="30"/>
  <c r="G129" i="30"/>
  <c r="H129" i="30"/>
  <c r="I129" i="30"/>
  <c r="J129" i="30"/>
  <c r="K129" i="30"/>
  <c r="L129" i="30"/>
  <c r="M129" i="30"/>
  <c r="N129" i="30"/>
  <c r="G130" i="30"/>
  <c r="H130" i="30"/>
  <c r="I130" i="30"/>
  <c r="J130" i="30"/>
  <c r="K130" i="30"/>
  <c r="L130" i="30"/>
  <c r="M130" i="30"/>
  <c r="N130" i="30"/>
  <c r="G131" i="30"/>
  <c r="H131" i="30"/>
  <c r="I131" i="30"/>
  <c r="J131" i="30"/>
  <c r="K131" i="30"/>
  <c r="L131" i="30"/>
  <c r="M131" i="30"/>
  <c r="N131" i="30"/>
  <c r="G132" i="30"/>
  <c r="H132" i="30"/>
  <c r="I132" i="30"/>
  <c r="J132" i="30"/>
  <c r="K132" i="30"/>
  <c r="L132" i="30"/>
  <c r="M132" i="30"/>
  <c r="N132" i="30"/>
  <c r="G133" i="30"/>
  <c r="H133" i="30"/>
  <c r="I133" i="30"/>
  <c r="J133" i="30"/>
  <c r="K133" i="30"/>
  <c r="L133" i="30"/>
  <c r="M133" i="30"/>
  <c r="N133" i="30"/>
  <c r="G134" i="30"/>
  <c r="H134" i="30"/>
  <c r="I134" i="30"/>
  <c r="J134" i="30"/>
  <c r="K134" i="30"/>
  <c r="L134" i="30"/>
  <c r="M134" i="30"/>
  <c r="N134" i="30"/>
  <c r="G135" i="30"/>
  <c r="H135" i="30"/>
  <c r="I135" i="30"/>
  <c r="J135" i="30"/>
  <c r="K135" i="30"/>
  <c r="L135" i="30"/>
  <c r="M135" i="30"/>
  <c r="N135" i="30"/>
  <c r="G136" i="30"/>
  <c r="H136" i="30"/>
  <c r="I136" i="30"/>
  <c r="J136" i="30"/>
  <c r="K136" i="30"/>
  <c r="L136" i="30"/>
  <c r="M136" i="30"/>
  <c r="N136" i="30"/>
  <c r="G137" i="30"/>
  <c r="H137" i="30"/>
  <c r="I137" i="30"/>
  <c r="J137" i="30"/>
  <c r="K137" i="30"/>
  <c r="L137" i="30"/>
  <c r="M137" i="30"/>
  <c r="N137" i="30"/>
  <c r="G138" i="30"/>
  <c r="H138" i="30"/>
  <c r="I138" i="30"/>
  <c r="J138" i="30"/>
  <c r="K138" i="30"/>
  <c r="L138" i="30"/>
  <c r="M138" i="30"/>
  <c r="N138" i="30"/>
  <c r="G139" i="30"/>
  <c r="H139" i="30"/>
  <c r="I139" i="30"/>
  <c r="J139" i="30"/>
  <c r="K139" i="30"/>
  <c r="L139" i="30"/>
  <c r="M139" i="30"/>
  <c r="N139" i="30"/>
  <c r="G140" i="30"/>
  <c r="H140" i="30"/>
  <c r="I140" i="30"/>
  <c r="J140" i="30"/>
  <c r="K140" i="30"/>
  <c r="L140" i="30"/>
  <c r="M140" i="30"/>
  <c r="N140" i="30"/>
  <c r="G141" i="30"/>
  <c r="H141" i="30"/>
  <c r="I141" i="30"/>
  <c r="J141" i="30"/>
  <c r="K141" i="30"/>
  <c r="L141" i="30"/>
  <c r="M141" i="30"/>
  <c r="N141" i="30"/>
  <c r="G142" i="30"/>
  <c r="H142" i="30"/>
  <c r="I142" i="30"/>
  <c r="J142" i="30"/>
  <c r="K142" i="30"/>
  <c r="L142" i="30"/>
  <c r="M142" i="30"/>
  <c r="N142" i="30"/>
  <c r="G143" i="30"/>
  <c r="H143" i="30"/>
  <c r="I143" i="30"/>
  <c r="J143" i="30"/>
  <c r="K143" i="30"/>
  <c r="L143" i="30"/>
  <c r="M143" i="30"/>
  <c r="N143" i="30"/>
  <c r="J117" i="30"/>
  <c r="N117" i="30"/>
  <c r="G117" i="30"/>
  <c r="G146" i="29"/>
  <c r="J146" i="29"/>
  <c r="G147" i="29"/>
  <c r="H147" i="29"/>
  <c r="I147" i="29"/>
  <c r="J147" i="29"/>
  <c r="K147" i="29"/>
  <c r="L147" i="29"/>
  <c r="M147" i="29"/>
  <c r="N147" i="29"/>
  <c r="G148" i="29"/>
  <c r="H148" i="29"/>
  <c r="I148" i="29"/>
  <c r="J148" i="29"/>
  <c r="K148" i="29"/>
  <c r="L148" i="29"/>
  <c r="M148" i="29"/>
  <c r="N148" i="29"/>
  <c r="G149" i="29"/>
  <c r="H149" i="29"/>
  <c r="I149" i="29"/>
  <c r="J149" i="29"/>
  <c r="K149" i="29"/>
  <c r="L149" i="29"/>
  <c r="M149" i="29"/>
  <c r="N149" i="29"/>
  <c r="G150" i="29"/>
  <c r="H150" i="29"/>
  <c r="I150" i="29"/>
  <c r="J150" i="29"/>
  <c r="K150" i="29"/>
  <c r="L150" i="29"/>
  <c r="M150" i="29"/>
  <c r="N150" i="29"/>
  <c r="G151" i="29"/>
  <c r="H151" i="29"/>
  <c r="I151" i="29"/>
  <c r="J151" i="29"/>
  <c r="K151" i="29"/>
  <c r="L151" i="29"/>
  <c r="M151" i="29"/>
  <c r="N151" i="29"/>
  <c r="G152" i="29"/>
  <c r="H152" i="29"/>
  <c r="I152" i="29"/>
  <c r="J152" i="29"/>
  <c r="K152" i="29"/>
  <c r="L152" i="29"/>
  <c r="M152" i="29"/>
  <c r="J153" i="29"/>
  <c r="G155" i="29"/>
  <c r="J155" i="29"/>
  <c r="N155" i="29"/>
  <c r="G156" i="29"/>
  <c r="J156" i="29"/>
  <c r="G157" i="29"/>
  <c r="J157" i="29"/>
  <c r="G158" i="29"/>
  <c r="J158" i="29"/>
  <c r="G159" i="29"/>
  <c r="J159" i="29"/>
  <c r="G160" i="29"/>
  <c r="J160" i="29"/>
  <c r="J145" i="29"/>
  <c r="G145" i="29"/>
  <c r="G118" i="29"/>
  <c r="J118" i="29"/>
  <c r="N118" i="29"/>
  <c r="G119" i="29"/>
  <c r="H119" i="29"/>
  <c r="I119" i="29"/>
  <c r="J119" i="29"/>
  <c r="K119" i="29"/>
  <c r="L119" i="29"/>
  <c r="M119" i="29"/>
  <c r="N119" i="29"/>
  <c r="G120" i="29"/>
  <c r="H120" i="29"/>
  <c r="I120" i="29"/>
  <c r="J120" i="29"/>
  <c r="K120" i="29"/>
  <c r="L120" i="29"/>
  <c r="M120" i="29"/>
  <c r="N120" i="29"/>
  <c r="G121" i="29"/>
  <c r="J121" i="29"/>
  <c r="N121" i="29"/>
  <c r="G122" i="29"/>
  <c r="H122" i="29"/>
  <c r="I122" i="29"/>
  <c r="J122" i="29"/>
  <c r="K122" i="29"/>
  <c r="L122" i="29"/>
  <c r="M122" i="29"/>
  <c r="N122" i="29"/>
  <c r="G123" i="29"/>
  <c r="H123" i="29"/>
  <c r="I123" i="29"/>
  <c r="J123" i="29"/>
  <c r="K123" i="29"/>
  <c r="L123" i="29"/>
  <c r="M123" i="29"/>
  <c r="N123" i="29"/>
  <c r="G124" i="29"/>
  <c r="H124" i="29"/>
  <c r="I124" i="29"/>
  <c r="J124" i="29"/>
  <c r="K124" i="29"/>
  <c r="L124" i="29"/>
  <c r="M124" i="29"/>
  <c r="N124" i="29"/>
  <c r="G125" i="29"/>
  <c r="H125" i="29"/>
  <c r="I125" i="29"/>
  <c r="J125" i="29"/>
  <c r="K125" i="29"/>
  <c r="L125" i="29"/>
  <c r="M125" i="29"/>
  <c r="N125" i="29"/>
  <c r="G126" i="29"/>
  <c r="H126" i="29"/>
  <c r="I126" i="29"/>
  <c r="J126" i="29"/>
  <c r="K126" i="29"/>
  <c r="L126" i="29"/>
  <c r="M126" i="29"/>
  <c r="N126" i="29"/>
  <c r="G127" i="29"/>
  <c r="H127" i="29"/>
  <c r="I127" i="29"/>
  <c r="J127" i="29"/>
  <c r="K127" i="29"/>
  <c r="L127" i="29"/>
  <c r="M127" i="29"/>
  <c r="N127" i="29"/>
  <c r="G129" i="29"/>
  <c r="H129" i="29"/>
  <c r="I129" i="29"/>
  <c r="J129" i="29"/>
  <c r="K129" i="29"/>
  <c r="L129" i="29"/>
  <c r="M129" i="29"/>
  <c r="N129" i="29"/>
  <c r="G130" i="29"/>
  <c r="H130" i="29"/>
  <c r="I130" i="29"/>
  <c r="J130" i="29"/>
  <c r="K130" i="29"/>
  <c r="L130" i="29"/>
  <c r="M130" i="29"/>
  <c r="N130" i="29"/>
  <c r="G131" i="29"/>
  <c r="H131" i="29"/>
  <c r="I131" i="29"/>
  <c r="J131" i="29"/>
  <c r="K131" i="29"/>
  <c r="L131" i="29"/>
  <c r="M131" i="29"/>
  <c r="N131" i="29"/>
  <c r="G132" i="29"/>
  <c r="H132" i="29"/>
  <c r="I132" i="29"/>
  <c r="J132" i="29"/>
  <c r="K132" i="29"/>
  <c r="L132" i="29"/>
  <c r="M132" i="29"/>
  <c r="N132" i="29"/>
  <c r="G133" i="29"/>
  <c r="H133" i="29"/>
  <c r="I133" i="29"/>
  <c r="J133" i="29"/>
  <c r="K133" i="29"/>
  <c r="L133" i="29"/>
  <c r="M133" i="29"/>
  <c r="N133" i="29"/>
  <c r="G134" i="29"/>
  <c r="H134" i="29"/>
  <c r="I134" i="29"/>
  <c r="J134" i="29"/>
  <c r="K134" i="29"/>
  <c r="L134" i="29"/>
  <c r="M134" i="29"/>
  <c r="N134" i="29"/>
  <c r="G135" i="29"/>
  <c r="H135" i="29"/>
  <c r="I135" i="29"/>
  <c r="J135" i="29"/>
  <c r="K135" i="29"/>
  <c r="L135" i="29"/>
  <c r="M135" i="29"/>
  <c r="N135" i="29"/>
  <c r="G136" i="29"/>
  <c r="H136" i="29"/>
  <c r="I136" i="29"/>
  <c r="J136" i="29"/>
  <c r="K136" i="29"/>
  <c r="L136" i="29"/>
  <c r="M136" i="29"/>
  <c r="N136" i="29"/>
  <c r="G137" i="29"/>
  <c r="H137" i="29"/>
  <c r="I137" i="29"/>
  <c r="J137" i="29"/>
  <c r="K137" i="29"/>
  <c r="L137" i="29"/>
  <c r="M137" i="29"/>
  <c r="N137" i="29"/>
  <c r="G138" i="29"/>
  <c r="H138" i="29"/>
  <c r="I138" i="29"/>
  <c r="J138" i="29"/>
  <c r="K138" i="29"/>
  <c r="L138" i="29"/>
  <c r="M138" i="29"/>
  <c r="N138" i="29"/>
  <c r="G139" i="29"/>
  <c r="H139" i="29"/>
  <c r="I139" i="29"/>
  <c r="J139" i="29"/>
  <c r="K139" i="29"/>
  <c r="L139" i="29"/>
  <c r="M139" i="29"/>
  <c r="G140" i="29"/>
  <c r="H140" i="29"/>
  <c r="I140" i="29"/>
  <c r="J140" i="29"/>
  <c r="K140" i="29"/>
  <c r="L140" i="29"/>
  <c r="M140" i="29"/>
  <c r="N140" i="29"/>
  <c r="G141" i="29"/>
  <c r="H141" i="29"/>
  <c r="I141" i="29"/>
  <c r="J141" i="29"/>
  <c r="K141" i="29"/>
  <c r="L141" i="29"/>
  <c r="M141" i="29"/>
  <c r="N141" i="29"/>
  <c r="G142" i="29"/>
  <c r="H142" i="29"/>
  <c r="I142" i="29"/>
  <c r="J142" i="29"/>
  <c r="K142" i="29"/>
  <c r="L142" i="29"/>
  <c r="M142" i="29"/>
  <c r="N142" i="29"/>
  <c r="G143" i="29"/>
  <c r="H143" i="29"/>
  <c r="I143" i="29"/>
  <c r="J143" i="29"/>
  <c r="K143" i="29"/>
  <c r="L143" i="29"/>
  <c r="M143" i="29"/>
  <c r="N143" i="29"/>
  <c r="J117" i="29"/>
  <c r="N117" i="29"/>
  <c r="G117" i="29"/>
  <c r="G160" i="28"/>
  <c r="J160" i="28"/>
  <c r="G146" i="28"/>
  <c r="J146" i="28"/>
  <c r="N146" i="28"/>
  <c r="G147" i="28"/>
  <c r="H147" i="28"/>
  <c r="I147" i="28"/>
  <c r="J147" i="28"/>
  <c r="K147" i="28"/>
  <c r="L147" i="28"/>
  <c r="M147" i="28"/>
  <c r="N147" i="28"/>
  <c r="G148" i="28"/>
  <c r="H148" i="28"/>
  <c r="I148" i="28"/>
  <c r="J148" i="28"/>
  <c r="K148" i="28"/>
  <c r="L148" i="28"/>
  <c r="M148" i="28"/>
  <c r="N148" i="28"/>
  <c r="G149" i="28"/>
  <c r="H149" i="28"/>
  <c r="I149" i="28"/>
  <c r="J149" i="28"/>
  <c r="K149" i="28"/>
  <c r="L149" i="28"/>
  <c r="M149" i="28"/>
  <c r="N149" i="28"/>
  <c r="G150" i="28"/>
  <c r="H150" i="28"/>
  <c r="I150" i="28"/>
  <c r="J150" i="28"/>
  <c r="K150" i="28"/>
  <c r="L150" i="28"/>
  <c r="M150" i="28"/>
  <c r="N150" i="28"/>
  <c r="G151" i="28"/>
  <c r="H151" i="28"/>
  <c r="I151" i="28"/>
  <c r="J151" i="28"/>
  <c r="K151" i="28"/>
  <c r="L151" i="28"/>
  <c r="M151" i="28"/>
  <c r="N151" i="28"/>
  <c r="G152" i="28"/>
  <c r="H152" i="28"/>
  <c r="I152" i="28"/>
  <c r="J152" i="28"/>
  <c r="K152" i="28"/>
  <c r="L152" i="28"/>
  <c r="M152" i="28"/>
  <c r="G153" i="28"/>
  <c r="J153" i="28"/>
  <c r="N153" i="28"/>
  <c r="G155" i="28"/>
  <c r="J155" i="28"/>
  <c r="N155" i="28"/>
  <c r="G156" i="28"/>
  <c r="J156" i="28"/>
  <c r="G157" i="28"/>
  <c r="J157" i="28"/>
  <c r="G158" i="28"/>
  <c r="J158" i="28"/>
  <c r="G159" i="28"/>
  <c r="J159" i="28"/>
  <c r="J145" i="28"/>
  <c r="G145" i="28"/>
  <c r="G118" i="28"/>
  <c r="J118" i="28"/>
  <c r="N118" i="28"/>
  <c r="G119" i="28"/>
  <c r="H119" i="28"/>
  <c r="I119" i="28"/>
  <c r="J119" i="28"/>
  <c r="K119" i="28"/>
  <c r="L119" i="28"/>
  <c r="M119" i="28"/>
  <c r="N119" i="28"/>
  <c r="G120" i="28"/>
  <c r="H120" i="28"/>
  <c r="I120" i="28"/>
  <c r="J120" i="28"/>
  <c r="K120" i="28"/>
  <c r="L120" i="28"/>
  <c r="M120" i="28"/>
  <c r="N120" i="28"/>
  <c r="G121" i="28"/>
  <c r="J121" i="28"/>
  <c r="N121" i="28"/>
  <c r="G122" i="28"/>
  <c r="H122" i="28"/>
  <c r="I122" i="28"/>
  <c r="J122" i="28"/>
  <c r="K122" i="28"/>
  <c r="L122" i="28"/>
  <c r="M122" i="28"/>
  <c r="N122" i="28"/>
  <c r="G123" i="28"/>
  <c r="H123" i="28"/>
  <c r="I123" i="28"/>
  <c r="J123" i="28"/>
  <c r="K123" i="28"/>
  <c r="L123" i="28"/>
  <c r="M123" i="28"/>
  <c r="N123" i="28"/>
  <c r="G124" i="28"/>
  <c r="H124" i="28"/>
  <c r="I124" i="28"/>
  <c r="J124" i="28"/>
  <c r="K124" i="28"/>
  <c r="L124" i="28"/>
  <c r="M124" i="28"/>
  <c r="G125" i="28"/>
  <c r="H125" i="28"/>
  <c r="I125" i="28"/>
  <c r="J125" i="28"/>
  <c r="K125" i="28"/>
  <c r="L125" i="28"/>
  <c r="M125" i="28"/>
  <c r="N125" i="28"/>
  <c r="G126" i="28"/>
  <c r="H126" i="28"/>
  <c r="I126" i="28"/>
  <c r="J126" i="28"/>
  <c r="K126" i="28"/>
  <c r="L126" i="28"/>
  <c r="M126" i="28"/>
  <c r="N126" i="28"/>
  <c r="G127" i="28"/>
  <c r="H127" i="28"/>
  <c r="I127" i="28"/>
  <c r="J127" i="28"/>
  <c r="K127" i="28"/>
  <c r="L127" i="28"/>
  <c r="M127" i="28"/>
  <c r="N127" i="28"/>
  <c r="G129" i="28"/>
  <c r="H129" i="28"/>
  <c r="I129" i="28"/>
  <c r="J129" i="28"/>
  <c r="K129" i="28"/>
  <c r="L129" i="28"/>
  <c r="M129" i="28"/>
  <c r="N129" i="28"/>
  <c r="G130" i="28"/>
  <c r="H130" i="28"/>
  <c r="I130" i="28"/>
  <c r="J130" i="28"/>
  <c r="K130" i="28"/>
  <c r="L130" i="28"/>
  <c r="M130" i="28"/>
  <c r="N130" i="28"/>
  <c r="G131" i="28"/>
  <c r="H131" i="28"/>
  <c r="I131" i="28"/>
  <c r="J131" i="28"/>
  <c r="K131" i="28"/>
  <c r="L131" i="28"/>
  <c r="M131" i="28"/>
  <c r="N131" i="28"/>
  <c r="G132" i="28"/>
  <c r="H132" i="28"/>
  <c r="I132" i="28"/>
  <c r="J132" i="28"/>
  <c r="K132" i="28"/>
  <c r="L132" i="28"/>
  <c r="M132" i="28"/>
  <c r="G133" i="28"/>
  <c r="H133" i="28"/>
  <c r="I133" i="28"/>
  <c r="J133" i="28"/>
  <c r="K133" i="28"/>
  <c r="L133" i="28"/>
  <c r="M133" i="28"/>
  <c r="N133" i="28"/>
  <c r="G134" i="28"/>
  <c r="H134" i="28"/>
  <c r="I134" i="28"/>
  <c r="J134" i="28"/>
  <c r="K134" i="28"/>
  <c r="L134" i="28"/>
  <c r="M134" i="28"/>
  <c r="N134" i="28"/>
  <c r="G135" i="28"/>
  <c r="H135" i="28"/>
  <c r="I135" i="28"/>
  <c r="J135" i="28"/>
  <c r="K135" i="28"/>
  <c r="L135" i="28"/>
  <c r="M135" i="28"/>
  <c r="N135" i="28"/>
  <c r="G136" i="28"/>
  <c r="H136" i="28"/>
  <c r="I136" i="28"/>
  <c r="J136" i="28"/>
  <c r="K136" i="28"/>
  <c r="L136" i="28"/>
  <c r="M136" i="28"/>
  <c r="N136" i="28"/>
  <c r="G137" i="28"/>
  <c r="H137" i="28"/>
  <c r="I137" i="28"/>
  <c r="J137" i="28"/>
  <c r="K137" i="28"/>
  <c r="L137" i="28"/>
  <c r="M137" i="28"/>
  <c r="N137" i="28"/>
  <c r="G138" i="28"/>
  <c r="H138" i="28"/>
  <c r="I138" i="28"/>
  <c r="J138" i="28"/>
  <c r="K138" i="28"/>
  <c r="L138" i="28"/>
  <c r="M138" i="28"/>
  <c r="N138" i="28"/>
  <c r="G139" i="28"/>
  <c r="H139" i="28"/>
  <c r="I139" i="28"/>
  <c r="J139" i="28"/>
  <c r="K139" i="28"/>
  <c r="L139" i="28"/>
  <c r="M139" i="28"/>
  <c r="N139" i="28"/>
  <c r="G140" i="28"/>
  <c r="H140" i="28"/>
  <c r="I140" i="28"/>
  <c r="J140" i="28"/>
  <c r="K140" i="28"/>
  <c r="L140" i="28"/>
  <c r="M140" i="28"/>
  <c r="N140" i="28"/>
  <c r="G141" i="28"/>
  <c r="H141" i="28"/>
  <c r="I141" i="28"/>
  <c r="J141" i="28"/>
  <c r="K141" i="28"/>
  <c r="L141" i="28"/>
  <c r="M141" i="28"/>
  <c r="N141" i="28"/>
  <c r="G142" i="28"/>
  <c r="H142" i="28"/>
  <c r="I142" i="28"/>
  <c r="J142" i="28"/>
  <c r="K142" i="28"/>
  <c r="L142" i="28"/>
  <c r="M142" i="28"/>
  <c r="N142" i="28"/>
  <c r="G143" i="28"/>
  <c r="H143" i="28"/>
  <c r="I143" i="28"/>
  <c r="J143" i="28"/>
  <c r="K143" i="28"/>
  <c r="L143" i="28"/>
  <c r="M143" i="28"/>
  <c r="N143" i="28"/>
  <c r="J117" i="28"/>
  <c r="N117" i="28"/>
  <c r="G117" i="28"/>
  <c r="G158" i="27"/>
  <c r="J158" i="27"/>
  <c r="G159" i="27"/>
  <c r="J159" i="27"/>
  <c r="G160" i="27"/>
  <c r="J160" i="27"/>
  <c r="G146" i="27"/>
  <c r="J146" i="27"/>
  <c r="N146" i="27"/>
  <c r="G147" i="27"/>
  <c r="H147" i="27"/>
  <c r="I147" i="27"/>
  <c r="J147" i="27"/>
  <c r="K147" i="27"/>
  <c r="L147" i="27"/>
  <c r="M147" i="27"/>
  <c r="N147" i="27"/>
  <c r="G148" i="27"/>
  <c r="H148" i="27"/>
  <c r="I148" i="27"/>
  <c r="J148" i="27"/>
  <c r="K148" i="27"/>
  <c r="L148" i="27"/>
  <c r="M148" i="27"/>
  <c r="N148" i="27"/>
  <c r="G149" i="27"/>
  <c r="H149" i="27"/>
  <c r="I149" i="27"/>
  <c r="J149" i="27"/>
  <c r="K149" i="27"/>
  <c r="L149" i="27"/>
  <c r="M149" i="27"/>
  <c r="N149" i="27"/>
  <c r="G150" i="27"/>
  <c r="H150" i="27"/>
  <c r="I150" i="27"/>
  <c r="J150" i="27"/>
  <c r="K150" i="27"/>
  <c r="L150" i="27"/>
  <c r="M150" i="27"/>
  <c r="N150" i="27"/>
  <c r="G151" i="27"/>
  <c r="H151" i="27"/>
  <c r="I151" i="27"/>
  <c r="J151" i="27"/>
  <c r="K151" i="27"/>
  <c r="L151" i="27"/>
  <c r="M151" i="27"/>
  <c r="N151" i="27"/>
  <c r="G152" i="27"/>
  <c r="H152" i="27"/>
  <c r="I152" i="27"/>
  <c r="J152" i="27"/>
  <c r="K152" i="27"/>
  <c r="L152" i="27"/>
  <c r="M152" i="27"/>
  <c r="G153" i="27"/>
  <c r="J153" i="27"/>
  <c r="N153" i="27"/>
  <c r="G155" i="27"/>
  <c r="J155" i="27"/>
  <c r="N155" i="27"/>
  <c r="G156" i="27"/>
  <c r="J156" i="27"/>
  <c r="G157" i="27"/>
  <c r="J157" i="27"/>
  <c r="J145" i="27"/>
  <c r="G145" i="27"/>
  <c r="G143" i="27"/>
  <c r="H143" i="27"/>
  <c r="I143" i="27"/>
  <c r="J143" i="27"/>
  <c r="K143" i="27"/>
  <c r="L143" i="27"/>
  <c r="M143" i="27"/>
  <c r="N143" i="27"/>
  <c r="G118" i="27"/>
  <c r="J118" i="27"/>
  <c r="N118" i="27"/>
  <c r="G119" i="27"/>
  <c r="H119" i="27"/>
  <c r="I119" i="27"/>
  <c r="J119" i="27"/>
  <c r="K119" i="27"/>
  <c r="L119" i="27"/>
  <c r="M119" i="27"/>
  <c r="N119" i="27"/>
  <c r="G120" i="27"/>
  <c r="H120" i="27"/>
  <c r="I120" i="27"/>
  <c r="J120" i="27"/>
  <c r="K120" i="27"/>
  <c r="L120" i="27"/>
  <c r="M120" i="27"/>
  <c r="N120" i="27"/>
  <c r="G121" i="27"/>
  <c r="J121" i="27"/>
  <c r="N121" i="27"/>
  <c r="G122" i="27"/>
  <c r="H122" i="27"/>
  <c r="I122" i="27"/>
  <c r="J122" i="27"/>
  <c r="K122" i="27"/>
  <c r="L122" i="27"/>
  <c r="M122" i="27"/>
  <c r="N122" i="27"/>
  <c r="G123" i="27"/>
  <c r="H123" i="27"/>
  <c r="I123" i="27"/>
  <c r="J123" i="27"/>
  <c r="K123" i="27"/>
  <c r="L123" i="27"/>
  <c r="M123" i="27"/>
  <c r="N123" i="27"/>
  <c r="G124" i="27"/>
  <c r="H124" i="27"/>
  <c r="I124" i="27"/>
  <c r="J124" i="27"/>
  <c r="K124" i="27"/>
  <c r="L124" i="27"/>
  <c r="M124" i="27"/>
  <c r="N124" i="27"/>
  <c r="G125" i="27"/>
  <c r="H125" i="27"/>
  <c r="I125" i="27"/>
  <c r="J125" i="27"/>
  <c r="K125" i="27"/>
  <c r="L125" i="27"/>
  <c r="M125" i="27"/>
  <c r="N125" i="27"/>
  <c r="G126" i="27"/>
  <c r="H126" i="27"/>
  <c r="I126" i="27"/>
  <c r="J126" i="27"/>
  <c r="K126" i="27"/>
  <c r="L126" i="27"/>
  <c r="M126" i="27"/>
  <c r="N126" i="27"/>
  <c r="G127" i="27"/>
  <c r="H127" i="27"/>
  <c r="I127" i="27"/>
  <c r="J127" i="27"/>
  <c r="K127" i="27"/>
  <c r="L127" i="27"/>
  <c r="M127" i="27"/>
  <c r="N127" i="27"/>
  <c r="G129" i="27"/>
  <c r="H129" i="27"/>
  <c r="I129" i="27"/>
  <c r="J129" i="27"/>
  <c r="K129" i="27"/>
  <c r="L129" i="27"/>
  <c r="M129" i="27"/>
  <c r="N129" i="27"/>
  <c r="G130" i="27"/>
  <c r="H130" i="27"/>
  <c r="I130" i="27"/>
  <c r="J130" i="27"/>
  <c r="K130" i="27"/>
  <c r="L130" i="27"/>
  <c r="M130" i="27"/>
  <c r="N130" i="27"/>
  <c r="G131" i="27"/>
  <c r="H131" i="27"/>
  <c r="I131" i="27"/>
  <c r="J131" i="27"/>
  <c r="K131" i="27"/>
  <c r="L131" i="27"/>
  <c r="M131" i="27"/>
  <c r="N131" i="27"/>
  <c r="G132" i="27"/>
  <c r="H132" i="27"/>
  <c r="I132" i="27"/>
  <c r="J132" i="27"/>
  <c r="K132" i="27"/>
  <c r="L132" i="27"/>
  <c r="M132" i="27"/>
  <c r="N132" i="27"/>
  <c r="G133" i="27"/>
  <c r="H133" i="27"/>
  <c r="I133" i="27"/>
  <c r="J133" i="27"/>
  <c r="K133" i="27"/>
  <c r="L133" i="27"/>
  <c r="M133" i="27"/>
  <c r="N133" i="27"/>
  <c r="G134" i="27"/>
  <c r="H134" i="27"/>
  <c r="I134" i="27"/>
  <c r="J134" i="27"/>
  <c r="K134" i="27"/>
  <c r="L134" i="27"/>
  <c r="M134" i="27"/>
  <c r="N134" i="27"/>
  <c r="G135" i="27"/>
  <c r="H135" i="27"/>
  <c r="I135" i="27"/>
  <c r="J135" i="27"/>
  <c r="K135" i="27"/>
  <c r="L135" i="27"/>
  <c r="M135" i="27"/>
  <c r="N135" i="27"/>
  <c r="G136" i="27"/>
  <c r="H136" i="27"/>
  <c r="I136" i="27"/>
  <c r="J136" i="27"/>
  <c r="K136" i="27"/>
  <c r="L136" i="27"/>
  <c r="M136" i="27"/>
  <c r="N136" i="27"/>
  <c r="G137" i="27"/>
  <c r="H137" i="27"/>
  <c r="I137" i="27"/>
  <c r="J137" i="27"/>
  <c r="K137" i="27"/>
  <c r="L137" i="27"/>
  <c r="M137" i="27"/>
  <c r="N137" i="27"/>
  <c r="G138" i="27"/>
  <c r="H138" i="27"/>
  <c r="I138" i="27"/>
  <c r="J138" i="27"/>
  <c r="K138" i="27"/>
  <c r="L138" i="27"/>
  <c r="M138" i="27"/>
  <c r="N138" i="27"/>
  <c r="G139" i="27"/>
  <c r="H139" i="27"/>
  <c r="I139" i="27"/>
  <c r="J139" i="27"/>
  <c r="K139" i="27"/>
  <c r="L139" i="27"/>
  <c r="M139" i="27"/>
  <c r="N139" i="27"/>
  <c r="G140" i="27"/>
  <c r="H140" i="27"/>
  <c r="I140" i="27"/>
  <c r="J140" i="27"/>
  <c r="K140" i="27"/>
  <c r="L140" i="27"/>
  <c r="M140" i="27"/>
  <c r="N140" i="27"/>
  <c r="G141" i="27"/>
  <c r="H141" i="27"/>
  <c r="I141" i="27"/>
  <c r="J141" i="27"/>
  <c r="K141" i="27"/>
  <c r="L141" i="27"/>
  <c r="M141" i="27"/>
  <c r="N141" i="27"/>
  <c r="G142" i="27"/>
  <c r="H142" i="27"/>
  <c r="I142" i="27"/>
  <c r="J142" i="27"/>
  <c r="K142" i="27"/>
  <c r="L142" i="27"/>
  <c r="M142" i="27"/>
  <c r="N142" i="27"/>
  <c r="J117" i="27"/>
  <c r="N117" i="27"/>
  <c r="G117" i="27"/>
  <c r="G157" i="26"/>
  <c r="H157" i="26"/>
  <c r="G158" i="26"/>
  <c r="H158" i="26"/>
  <c r="G159" i="26"/>
  <c r="H159" i="26"/>
  <c r="G160" i="26"/>
  <c r="H160" i="26"/>
  <c r="G146" i="26"/>
  <c r="H146" i="26"/>
  <c r="G147" i="26"/>
  <c r="H147" i="26"/>
  <c r="G148" i="26"/>
  <c r="H148" i="26"/>
  <c r="G149" i="26"/>
  <c r="H149" i="26"/>
  <c r="G150" i="26"/>
  <c r="H150" i="26"/>
  <c r="G151" i="26"/>
  <c r="H151" i="26"/>
  <c r="G152" i="26"/>
  <c r="G153" i="26"/>
  <c r="H153" i="26"/>
  <c r="G155" i="26"/>
  <c r="G156" i="26"/>
  <c r="H156" i="26"/>
  <c r="H145" i="26"/>
  <c r="G145" i="26"/>
  <c r="G134" i="26"/>
  <c r="G135" i="26"/>
  <c r="G136" i="26"/>
  <c r="G137" i="26"/>
  <c r="G138" i="26"/>
  <c r="G139" i="26"/>
  <c r="G140" i="26"/>
  <c r="G141" i="26"/>
  <c r="G142" i="26"/>
  <c r="G143" i="26"/>
  <c r="G118" i="26"/>
  <c r="G119" i="26"/>
  <c r="G120" i="26"/>
  <c r="G121" i="26"/>
  <c r="G122" i="26"/>
  <c r="G123" i="26"/>
  <c r="G124" i="26"/>
  <c r="G125" i="26"/>
  <c r="G126" i="26"/>
  <c r="G127" i="26"/>
  <c r="G129" i="26"/>
  <c r="G130" i="26"/>
  <c r="G131" i="26"/>
  <c r="G132" i="26"/>
  <c r="G133" i="26"/>
  <c r="G117" i="26"/>
  <c r="H118" i="26"/>
  <c r="H119" i="26"/>
  <c r="H120" i="26"/>
  <c r="H121" i="26"/>
  <c r="H122" i="26"/>
  <c r="H123" i="26"/>
  <c r="H124" i="26"/>
  <c r="H125" i="26"/>
  <c r="H126" i="26"/>
  <c r="H127" i="26"/>
  <c r="H129" i="26"/>
  <c r="H130" i="26"/>
  <c r="H131" i="26"/>
  <c r="H132" i="26"/>
  <c r="H133" i="26"/>
  <c r="H134" i="26"/>
  <c r="H135" i="26"/>
  <c r="H136" i="26"/>
  <c r="H137" i="26"/>
  <c r="H138" i="26"/>
  <c r="H139" i="26"/>
  <c r="H140" i="26"/>
  <c r="H141" i="26"/>
  <c r="H142" i="26"/>
  <c r="H143" i="26"/>
  <c r="H117" i="26"/>
  <c r="D202" i="13"/>
  <c r="D186" i="13"/>
  <c r="G186" i="13" s="1"/>
  <c r="E209" i="13"/>
  <c r="G209" i="13" s="1"/>
  <c r="G211" i="13" s="1"/>
  <c r="D194" i="13"/>
  <c r="G194" i="13" s="1"/>
  <c r="D195" i="13"/>
  <c r="G195" i="13" s="1"/>
  <c r="B182" i="13"/>
  <c r="G187" i="13"/>
  <c r="G189" i="13" l="1"/>
  <c r="N114" i="33" l="1"/>
  <c r="P114" i="33" s="1"/>
  <c r="N110" i="33"/>
  <c r="N24" i="33" s="1"/>
  <c r="N21" i="33" s="1"/>
  <c r="N104" i="33"/>
  <c r="N103" i="33"/>
  <c r="N33" i="33"/>
  <c r="N31" i="33"/>
  <c r="N23" i="33"/>
  <c r="N14" i="33"/>
  <c r="N32" i="33" s="1"/>
  <c r="N11" i="33"/>
  <c r="P162" i="33"/>
  <c r="L162" i="33" s="1"/>
  <c r="O162" i="33"/>
  <c r="K162" i="33" s="1"/>
  <c r="P160" i="33"/>
  <c r="B160" i="33"/>
  <c r="P159" i="33"/>
  <c r="B159" i="33"/>
  <c r="P158" i="33"/>
  <c r="P157" i="33"/>
  <c r="P156" i="33"/>
  <c r="P155" i="33"/>
  <c r="P151" i="33"/>
  <c r="P150" i="33"/>
  <c r="P149" i="33"/>
  <c r="P148" i="33"/>
  <c r="B148" i="33"/>
  <c r="P147" i="33"/>
  <c r="B147" i="33"/>
  <c r="P146" i="33"/>
  <c r="B146" i="33"/>
  <c r="P145" i="33"/>
  <c r="B145" i="33"/>
  <c r="B144" i="33"/>
  <c r="P143" i="33"/>
  <c r="B143" i="33"/>
  <c r="P142" i="33"/>
  <c r="B142" i="33"/>
  <c r="P141" i="33"/>
  <c r="P140" i="33"/>
  <c r="P139" i="33"/>
  <c r="P138" i="33"/>
  <c r="P137" i="33"/>
  <c r="P136" i="33"/>
  <c r="P135" i="33"/>
  <c r="P134" i="33"/>
  <c r="P133" i="33"/>
  <c r="P132" i="33"/>
  <c r="P131" i="33"/>
  <c r="P130" i="33"/>
  <c r="P129" i="33"/>
  <c r="P127" i="33"/>
  <c r="P126" i="33"/>
  <c r="P125" i="33"/>
  <c r="P124" i="33"/>
  <c r="P123" i="33"/>
  <c r="P122" i="33"/>
  <c r="P121" i="33"/>
  <c r="P120" i="33"/>
  <c r="B120" i="33"/>
  <c r="P119" i="33"/>
  <c r="B119" i="33"/>
  <c r="P118" i="33"/>
  <c r="B118" i="33"/>
  <c r="P117" i="33"/>
  <c r="I116" i="33"/>
  <c r="K116" i="33" s="1"/>
  <c r="H116" i="33"/>
  <c r="B116" i="33"/>
  <c r="I115" i="33"/>
  <c r="K115" i="33" s="1"/>
  <c r="H115" i="33"/>
  <c r="B115" i="33"/>
  <c r="B114" i="33"/>
  <c r="P112" i="33"/>
  <c r="I112" i="33"/>
  <c r="H112" i="33"/>
  <c r="I110" i="33"/>
  <c r="H110" i="33"/>
  <c r="B110" i="33"/>
  <c r="I109" i="33"/>
  <c r="H109" i="33"/>
  <c r="B109" i="33"/>
  <c r="B108" i="33"/>
  <c r="I106" i="33"/>
  <c r="H106" i="33"/>
  <c r="B106" i="33"/>
  <c r="I105" i="33"/>
  <c r="H105" i="33"/>
  <c r="B105" i="33"/>
  <c r="I104" i="33"/>
  <c r="H104" i="33"/>
  <c r="B104" i="33"/>
  <c r="I103" i="33"/>
  <c r="H103" i="33"/>
  <c r="B103" i="33"/>
  <c r="I79" i="33"/>
  <c r="H79" i="33"/>
  <c r="H160" i="33" s="1"/>
  <c r="B79" i="33"/>
  <c r="I78" i="33"/>
  <c r="H78" i="33"/>
  <c r="H159" i="33" s="1"/>
  <c r="B78" i="33"/>
  <c r="I77" i="33"/>
  <c r="H77" i="33"/>
  <c r="H158" i="33" s="1"/>
  <c r="B77" i="33"/>
  <c r="I76" i="33"/>
  <c r="H76" i="33"/>
  <c r="H157" i="33" s="1"/>
  <c r="I75" i="33"/>
  <c r="H75" i="33"/>
  <c r="H156" i="33" s="1"/>
  <c r="B75" i="33"/>
  <c r="I74" i="33"/>
  <c r="H74" i="33"/>
  <c r="H155" i="33" s="1"/>
  <c r="B74" i="33"/>
  <c r="I73" i="33"/>
  <c r="H73" i="33"/>
  <c r="H153" i="33" s="1"/>
  <c r="B73" i="33"/>
  <c r="I66" i="33"/>
  <c r="H66" i="33"/>
  <c r="H146" i="33" s="1"/>
  <c r="B66" i="33"/>
  <c r="I65" i="33"/>
  <c r="H65" i="33"/>
  <c r="H145" i="33" s="1"/>
  <c r="B65" i="33"/>
  <c r="I64" i="33"/>
  <c r="H64" i="33"/>
  <c r="B64" i="33"/>
  <c r="I39" i="33"/>
  <c r="H39" i="33"/>
  <c r="B39" i="33"/>
  <c r="I36" i="33"/>
  <c r="H36" i="33"/>
  <c r="B36" i="33"/>
  <c r="I35" i="33"/>
  <c r="K35" i="33" s="1"/>
  <c r="H35" i="33"/>
  <c r="B35" i="33"/>
  <c r="I34" i="33"/>
  <c r="H34" i="33"/>
  <c r="B34" i="33"/>
  <c r="I29" i="33"/>
  <c r="H29" i="33"/>
  <c r="B29" i="33"/>
  <c r="I28" i="33"/>
  <c r="H28" i="33"/>
  <c r="B28" i="33"/>
  <c r="I27" i="33"/>
  <c r="K27" i="33" s="1"/>
  <c r="H27" i="33"/>
  <c r="B27" i="33"/>
  <c r="I26" i="33"/>
  <c r="H26" i="33"/>
  <c r="B26" i="33"/>
  <c r="I19" i="33"/>
  <c r="H19" i="33"/>
  <c r="B19" i="33"/>
  <c r="T15" i="33"/>
  <c r="I14" i="33"/>
  <c r="H14" i="33"/>
  <c r="B14" i="33"/>
  <c r="I13" i="33"/>
  <c r="H13" i="33"/>
  <c r="B13" i="33"/>
  <c r="I12" i="33"/>
  <c r="H12" i="33"/>
  <c r="B12" i="33"/>
  <c r="I11" i="33"/>
  <c r="H11" i="33"/>
  <c r="B11" i="33"/>
  <c r="O10" i="33"/>
  <c r="P10" i="33" s="1"/>
  <c r="B10" i="33"/>
  <c r="N114" i="32"/>
  <c r="P114" i="32" s="1"/>
  <c r="N104" i="32"/>
  <c r="N103" i="32"/>
  <c r="N105" i="32" s="1"/>
  <c r="N102" i="32"/>
  <c r="N87" i="32"/>
  <c r="N85" i="32"/>
  <c r="N78" i="32"/>
  <c r="N77" i="32"/>
  <c r="N65" i="32"/>
  <c r="N17" i="32" s="1"/>
  <c r="N31" i="32"/>
  <c r="N14" i="32"/>
  <c r="N32" i="32" s="1"/>
  <c r="N11" i="32"/>
  <c r="N12" i="32" s="1"/>
  <c r="N30" i="32" s="1"/>
  <c r="P162" i="32"/>
  <c r="L162" i="32" s="1"/>
  <c r="O162" i="32"/>
  <c r="K162" i="32" s="1"/>
  <c r="B160" i="32"/>
  <c r="B159" i="32"/>
  <c r="P157" i="32"/>
  <c r="P156" i="32"/>
  <c r="P155" i="32"/>
  <c r="P152" i="32"/>
  <c r="P151" i="32"/>
  <c r="P150" i="32"/>
  <c r="P149" i="32"/>
  <c r="P148" i="32"/>
  <c r="B148" i="32"/>
  <c r="P147" i="32"/>
  <c r="B147" i="32"/>
  <c r="P146" i="32"/>
  <c r="B146" i="32"/>
  <c r="B145" i="32"/>
  <c r="B144" i="32"/>
  <c r="P143" i="32"/>
  <c r="B143" i="32"/>
  <c r="P142" i="32"/>
  <c r="B142" i="32"/>
  <c r="P141" i="32"/>
  <c r="P139" i="32"/>
  <c r="P138" i="32"/>
  <c r="P137" i="32"/>
  <c r="P136" i="32"/>
  <c r="P135" i="32"/>
  <c r="P134" i="32"/>
  <c r="P133" i="32"/>
  <c r="P132" i="32"/>
  <c r="P131" i="32"/>
  <c r="P130" i="32"/>
  <c r="P129" i="32"/>
  <c r="P127" i="32"/>
  <c r="P126" i="32"/>
  <c r="P125" i="32"/>
  <c r="P124" i="32"/>
  <c r="P123" i="32"/>
  <c r="P122" i="32"/>
  <c r="P121" i="32"/>
  <c r="P120" i="32"/>
  <c r="B120" i="32"/>
  <c r="P119" i="32"/>
  <c r="B119" i="32"/>
  <c r="P118" i="32"/>
  <c r="B118" i="32"/>
  <c r="P117" i="32"/>
  <c r="I116" i="32"/>
  <c r="K116" i="32" s="1"/>
  <c r="H116" i="32"/>
  <c r="B116" i="32"/>
  <c r="I115" i="32"/>
  <c r="K115" i="32" s="1"/>
  <c r="H115" i="32"/>
  <c r="B115" i="32"/>
  <c r="B114" i="32"/>
  <c r="I112" i="32"/>
  <c r="H112" i="32"/>
  <c r="I110" i="32"/>
  <c r="H110" i="32"/>
  <c r="B110" i="32"/>
  <c r="I109" i="32"/>
  <c r="H109" i="32"/>
  <c r="B109" i="32"/>
  <c r="I108" i="32"/>
  <c r="H108" i="32"/>
  <c r="B108" i="32"/>
  <c r="I106" i="32"/>
  <c r="H106" i="32"/>
  <c r="B106" i="32"/>
  <c r="I105" i="32"/>
  <c r="H105" i="32"/>
  <c r="B105" i="32"/>
  <c r="I104" i="32"/>
  <c r="H104" i="32"/>
  <c r="B104" i="32"/>
  <c r="I103" i="32"/>
  <c r="H103" i="32"/>
  <c r="B103" i="32"/>
  <c r="I79" i="32"/>
  <c r="H79" i="32"/>
  <c r="H160" i="32" s="1"/>
  <c r="B79" i="32"/>
  <c r="I78" i="32"/>
  <c r="H78" i="32"/>
  <c r="H159" i="32" s="1"/>
  <c r="B78" i="32"/>
  <c r="I77" i="32"/>
  <c r="H77" i="32"/>
  <c r="H158" i="32" s="1"/>
  <c r="B77" i="32"/>
  <c r="I76" i="32"/>
  <c r="H76" i="32"/>
  <c r="H157" i="32" s="1"/>
  <c r="I75" i="32"/>
  <c r="H75" i="32"/>
  <c r="H156" i="32" s="1"/>
  <c r="B75" i="32"/>
  <c r="I74" i="32"/>
  <c r="H74" i="32"/>
  <c r="H155" i="32" s="1"/>
  <c r="B74" i="32"/>
  <c r="I73" i="32"/>
  <c r="H73" i="32"/>
  <c r="H153" i="32" s="1"/>
  <c r="B73" i="32"/>
  <c r="I66" i="32"/>
  <c r="H66" i="32"/>
  <c r="H146" i="32" s="1"/>
  <c r="B66" i="32"/>
  <c r="I65" i="32"/>
  <c r="H65" i="32"/>
  <c r="H145" i="32" s="1"/>
  <c r="B65" i="32"/>
  <c r="I64" i="32"/>
  <c r="K64" i="32" s="1"/>
  <c r="H64" i="32"/>
  <c r="B64" i="32"/>
  <c r="I39" i="32"/>
  <c r="H39" i="32"/>
  <c r="H121" i="32" s="1"/>
  <c r="B39" i="32"/>
  <c r="I36" i="32"/>
  <c r="H36" i="32"/>
  <c r="H118" i="32" s="1"/>
  <c r="B36" i="32"/>
  <c r="I35" i="32"/>
  <c r="H35" i="32"/>
  <c r="H117" i="32" s="1"/>
  <c r="B35" i="32"/>
  <c r="I34" i="32"/>
  <c r="H34" i="32"/>
  <c r="B34" i="32"/>
  <c r="I29" i="32"/>
  <c r="H29" i="32"/>
  <c r="B29" i="32"/>
  <c r="I28" i="32"/>
  <c r="K28" i="32" s="1"/>
  <c r="H28" i="32"/>
  <c r="B28" i="32"/>
  <c r="I27" i="32"/>
  <c r="K27" i="32" s="1"/>
  <c r="H27" i="32"/>
  <c r="B27" i="32"/>
  <c r="I26" i="32"/>
  <c r="H26" i="32"/>
  <c r="B26" i="32"/>
  <c r="I19" i="32"/>
  <c r="K19" i="32" s="1"/>
  <c r="H19" i="32"/>
  <c r="B19" i="32"/>
  <c r="T15" i="32"/>
  <c r="I14" i="32"/>
  <c r="H14" i="32"/>
  <c r="B14" i="32"/>
  <c r="I13" i="32"/>
  <c r="H13" i="32"/>
  <c r="B13" i="32"/>
  <c r="I12" i="32"/>
  <c r="H12" i="32"/>
  <c r="B12" i="32"/>
  <c r="I11" i="32"/>
  <c r="H11" i="32"/>
  <c r="B11" i="32"/>
  <c r="O10" i="32"/>
  <c r="P10" i="32" s="1"/>
  <c r="B10" i="32"/>
  <c r="N104" i="31"/>
  <c r="N114" i="31"/>
  <c r="P114" i="31" s="1"/>
  <c r="N105" i="31"/>
  <c r="N103" i="31"/>
  <c r="N78" i="31"/>
  <c r="N159" i="31" s="1"/>
  <c r="P159" i="31" s="1"/>
  <c r="N76" i="31"/>
  <c r="N65" i="31"/>
  <c r="N17" i="31" s="1"/>
  <c r="N21" i="31" s="1"/>
  <c r="N33" i="31"/>
  <c r="N32" i="31"/>
  <c r="N31" i="31"/>
  <c r="N12" i="31"/>
  <c r="P162" i="31"/>
  <c r="L162" i="31" s="1"/>
  <c r="O162" i="31"/>
  <c r="K162" i="31" s="1"/>
  <c r="B160" i="31"/>
  <c r="B159" i="31"/>
  <c r="P155" i="31"/>
  <c r="P153" i="31"/>
  <c r="P152" i="31"/>
  <c r="P151" i="31"/>
  <c r="P150" i="31"/>
  <c r="P149" i="31"/>
  <c r="P148" i="31"/>
  <c r="B148" i="31"/>
  <c r="P147" i="31"/>
  <c r="B147" i="31"/>
  <c r="P146" i="31"/>
  <c r="B146" i="31"/>
  <c r="B145" i="31"/>
  <c r="B144" i="31"/>
  <c r="P143" i="31"/>
  <c r="B143" i="31"/>
  <c r="P142" i="31"/>
  <c r="B142" i="31"/>
  <c r="P141" i="31"/>
  <c r="P140" i="31"/>
  <c r="P139" i="31"/>
  <c r="P138" i="31"/>
  <c r="P137" i="31"/>
  <c r="P136" i="31"/>
  <c r="P135" i="31"/>
  <c r="P134" i="31"/>
  <c r="P133" i="31"/>
  <c r="P132" i="31"/>
  <c r="P131" i="31"/>
  <c r="P130" i="31"/>
  <c r="P129" i="31"/>
  <c r="P127" i="31"/>
  <c r="P126" i="31"/>
  <c r="P125" i="31"/>
  <c r="P124" i="31"/>
  <c r="P123" i="31"/>
  <c r="P122" i="31"/>
  <c r="P121" i="31"/>
  <c r="P120" i="31"/>
  <c r="B120" i="31"/>
  <c r="P119" i="31"/>
  <c r="B119" i="31"/>
  <c r="P118" i="31"/>
  <c r="B118" i="31"/>
  <c r="P117" i="31"/>
  <c r="I116" i="31"/>
  <c r="K116" i="31" s="1"/>
  <c r="H116" i="31"/>
  <c r="B116" i="31"/>
  <c r="B115" i="31"/>
  <c r="B114" i="31"/>
  <c r="I112" i="31"/>
  <c r="H112" i="31"/>
  <c r="I110" i="31"/>
  <c r="H110" i="31"/>
  <c r="B110" i="31"/>
  <c r="I109" i="31"/>
  <c r="H109" i="31"/>
  <c r="B109" i="31"/>
  <c r="I108" i="31"/>
  <c r="H108" i="31"/>
  <c r="B108" i="31"/>
  <c r="I106" i="31"/>
  <c r="H106" i="31"/>
  <c r="B106" i="31"/>
  <c r="I105" i="31"/>
  <c r="H105" i="31"/>
  <c r="B105" i="31"/>
  <c r="I104" i="31"/>
  <c r="H104" i="31"/>
  <c r="B104" i="31"/>
  <c r="I103" i="31"/>
  <c r="H103" i="31"/>
  <c r="B103" i="31"/>
  <c r="I79" i="31"/>
  <c r="H79" i="31"/>
  <c r="H160" i="31" s="1"/>
  <c r="B79" i="31"/>
  <c r="I78" i="31"/>
  <c r="H78" i="31"/>
  <c r="H159" i="31" s="1"/>
  <c r="B78" i="31"/>
  <c r="I77" i="31"/>
  <c r="H77" i="31"/>
  <c r="H158" i="31" s="1"/>
  <c r="B77" i="31"/>
  <c r="I76" i="31"/>
  <c r="H76" i="31"/>
  <c r="H157" i="31" s="1"/>
  <c r="I75" i="31"/>
  <c r="H75" i="31"/>
  <c r="H156" i="31" s="1"/>
  <c r="B75" i="31"/>
  <c r="I74" i="31"/>
  <c r="H74" i="31"/>
  <c r="H155" i="31" s="1"/>
  <c r="B74" i="31"/>
  <c r="I73" i="31"/>
  <c r="H73" i="31"/>
  <c r="H153" i="31" s="1"/>
  <c r="B73" i="31"/>
  <c r="I66" i="31"/>
  <c r="H66" i="31"/>
  <c r="H146" i="31" s="1"/>
  <c r="B66" i="31"/>
  <c r="I65" i="31"/>
  <c r="H65" i="31"/>
  <c r="H145" i="31" s="1"/>
  <c r="B65" i="31"/>
  <c r="I64" i="31"/>
  <c r="H64" i="31"/>
  <c r="B64" i="31"/>
  <c r="I39" i="31"/>
  <c r="H39" i="31"/>
  <c r="H121" i="31" s="1"/>
  <c r="B39" i="31"/>
  <c r="I36" i="31"/>
  <c r="I118" i="31" s="1"/>
  <c r="H36" i="31"/>
  <c r="H118" i="31" s="1"/>
  <c r="B36" i="31"/>
  <c r="I35" i="31"/>
  <c r="H35" i="31"/>
  <c r="H117" i="31" s="1"/>
  <c r="B35" i="31"/>
  <c r="I34" i="31"/>
  <c r="H34" i="31"/>
  <c r="B34" i="31"/>
  <c r="I29" i="31"/>
  <c r="H29" i="31"/>
  <c r="B29" i="31"/>
  <c r="I28" i="31"/>
  <c r="H28" i="31"/>
  <c r="B28" i="31"/>
  <c r="I27" i="31"/>
  <c r="K27" i="31" s="1"/>
  <c r="H27" i="31"/>
  <c r="B27" i="31"/>
  <c r="I26" i="31"/>
  <c r="H26" i="31"/>
  <c r="B26" i="31"/>
  <c r="I19" i="31"/>
  <c r="K19" i="31" s="1"/>
  <c r="H19" i="31"/>
  <c r="B19" i="31"/>
  <c r="T15" i="31"/>
  <c r="I14" i="31"/>
  <c r="H14" i="31"/>
  <c r="B14" i="31"/>
  <c r="I13" i="31"/>
  <c r="H13" i="31"/>
  <c r="B13" i="31"/>
  <c r="I12" i="31"/>
  <c r="H12" i="31"/>
  <c r="B12" i="31"/>
  <c r="I11" i="31"/>
  <c r="H11" i="31"/>
  <c r="B11" i="31"/>
  <c r="O10" i="31"/>
  <c r="P10" i="31" s="1"/>
  <c r="B10" i="31"/>
  <c r="N111" i="30"/>
  <c r="N103" i="30"/>
  <c r="N78" i="30"/>
  <c r="N76" i="30"/>
  <c r="N66" i="30"/>
  <c r="N65" i="30"/>
  <c r="N31" i="30"/>
  <c r="N14" i="30"/>
  <c r="N29" i="30"/>
  <c r="P162" i="30"/>
  <c r="L162" i="30" s="1"/>
  <c r="O162" i="30"/>
  <c r="K162" i="30" s="1"/>
  <c r="B160" i="30"/>
  <c r="B159" i="30"/>
  <c r="P155" i="30"/>
  <c r="P154" i="30"/>
  <c r="P152" i="30"/>
  <c r="P151" i="30"/>
  <c r="P150" i="30"/>
  <c r="P149" i="30"/>
  <c r="P148" i="30"/>
  <c r="B148" i="30"/>
  <c r="P147" i="30"/>
  <c r="B147" i="30"/>
  <c r="B146" i="30"/>
  <c r="B145" i="30"/>
  <c r="B144" i="30"/>
  <c r="P143" i="30"/>
  <c r="B143" i="30"/>
  <c r="P142" i="30"/>
  <c r="B142" i="30"/>
  <c r="P141" i="30"/>
  <c r="P140" i="30"/>
  <c r="P139" i="30"/>
  <c r="P138" i="30"/>
  <c r="P137" i="30"/>
  <c r="P136" i="30"/>
  <c r="P135" i="30"/>
  <c r="P134" i="30"/>
  <c r="P133" i="30"/>
  <c r="P132" i="30"/>
  <c r="P131" i="30"/>
  <c r="P130" i="30"/>
  <c r="P129" i="30"/>
  <c r="P127" i="30"/>
  <c r="P126" i="30"/>
  <c r="P125" i="30"/>
  <c r="P124" i="30"/>
  <c r="P123" i="30"/>
  <c r="P122" i="30"/>
  <c r="P121" i="30"/>
  <c r="P120" i="30"/>
  <c r="B120" i="30"/>
  <c r="P119" i="30"/>
  <c r="B119" i="30"/>
  <c r="P118" i="30"/>
  <c r="B118" i="30"/>
  <c r="I116" i="30"/>
  <c r="K116" i="30" s="1"/>
  <c r="H116" i="30"/>
  <c r="B116" i="30"/>
  <c r="I115" i="30"/>
  <c r="K115" i="30" s="1"/>
  <c r="H115" i="30"/>
  <c r="B115" i="30"/>
  <c r="B114" i="30"/>
  <c r="I112" i="30"/>
  <c r="H112" i="30"/>
  <c r="I110" i="30"/>
  <c r="H110" i="30"/>
  <c r="B110" i="30"/>
  <c r="I109" i="30"/>
  <c r="H109" i="30"/>
  <c r="B109" i="30"/>
  <c r="I108" i="30"/>
  <c r="K108" i="30" s="1"/>
  <c r="H108" i="30"/>
  <c r="B108" i="30"/>
  <c r="I106" i="30"/>
  <c r="H106" i="30"/>
  <c r="B106" i="30"/>
  <c r="I105" i="30"/>
  <c r="H105" i="30"/>
  <c r="B105" i="30"/>
  <c r="I104" i="30"/>
  <c r="H104" i="30"/>
  <c r="B104" i="30"/>
  <c r="I103" i="30"/>
  <c r="H103" i="30"/>
  <c r="B103" i="30"/>
  <c r="I79" i="30"/>
  <c r="H79" i="30"/>
  <c r="H160" i="30" s="1"/>
  <c r="B79" i="30"/>
  <c r="I78" i="30"/>
  <c r="H78" i="30"/>
  <c r="H159" i="30" s="1"/>
  <c r="B78" i="30"/>
  <c r="I77" i="30"/>
  <c r="H77" i="30"/>
  <c r="H158" i="30" s="1"/>
  <c r="B77" i="30"/>
  <c r="I76" i="30"/>
  <c r="H76" i="30"/>
  <c r="H157" i="30" s="1"/>
  <c r="I75" i="30"/>
  <c r="H75" i="30"/>
  <c r="H156" i="30" s="1"/>
  <c r="B75" i="30"/>
  <c r="I74" i="30"/>
  <c r="H74" i="30"/>
  <c r="H155" i="30" s="1"/>
  <c r="B74" i="30"/>
  <c r="I73" i="30"/>
  <c r="H73" i="30"/>
  <c r="H154" i="30" s="1"/>
  <c r="B73" i="30"/>
  <c r="I66" i="30"/>
  <c r="H66" i="30"/>
  <c r="H146" i="30" s="1"/>
  <c r="B66" i="30"/>
  <c r="I65" i="30"/>
  <c r="H65" i="30"/>
  <c r="H145" i="30" s="1"/>
  <c r="B65" i="30"/>
  <c r="I64" i="30"/>
  <c r="K64" i="30" s="1"/>
  <c r="H64" i="30"/>
  <c r="B64" i="30"/>
  <c r="I39" i="30"/>
  <c r="H39" i="30"/>
  <c r="H121" i="30" s="1"/>
  <c r="B39" i="30"/>
  <c r="I36" i="30"/>
  <c r="H36" i="30"/>
  <c r="H118" i="30" s="1"/>
  <c r="B36" i="30"/>
  <c r="I35" i="30"/>
  <c r="H35" i="30"/>
  <c r="H117" i="30" s="1"/>
  <c r="B35" i="30"/>
  <c r="I34" i="30"/>
  <c r="H34" i="30"/>
  <c r="B34" i="30"/>
  <c r="I29" i="30"/>
  <c r="H29" i="30"/>
  <c r="B29" i="30"/>
  <c r="I28" i="30"/>
  <c r="K28" i="30" s="1"/>
  <c r="H28" i="30"/>
  <c r="B28" i="30"/>
  <c r="I27" i="30"/>
  <c r="K27" i="30" s="1"/>
  <c r="H27" i="30"/>
  <c r="B27" i="30"/>
  <c r="I26" i="30"/>
  <c r="H26" i="30"/>
  <c r="B26" i="30"/>
  <c r="I19" i="30"/>
  <c r="K19" i="30" s="1"/>
  <c r="H19" i="30"/>
  <c r="B19" i="30"/>
  <c r="T15" i="30"/>
  <c r="I14" i="30"/>
  <c r="H14" i="30"/>
  <c r="B14" i="30"/>
  <c r="I13" i="30"/>
  <c r="H13" i="30"/>
  <c r="B13" i="30"/>
  <c r="I12" i="30"/>
  <c r="H12" i="30"/>
  <c r="B12" i="30"/>
  <c r="I11" i="30"/>
  <c r="H11" i="30"/>
  <c r="B11" i="30"/>
  <c r="O10" i="30"/>
  <c r="P10" i="30" s="1"/>
  <c r="B10" i="30"/>
  <c r="P114" i="29"/>
  <c r="N109" i="29"/>
  <c r="N103" i="29"/>
  <c r="N79" i="29"/>
  <c r="N78" i="29"/>
  <c r="N76" i="29"/>
  <c r="N66" i="29"/>
  <c r="N65" i="29"/>
  <c r="N57" i="29"/>
  <c r="N33" i="29"/>
  <c r="N31" i="29"/>
  <c r="N29" i="29"/>
  <c r="N14" i="29"/>
  <c r="N32" i="29" s="1"/>
  <c r="N30" i="29"/>
  <c r="P162" i="29"/>
  <c r="L162" i="29" s="1"/>
  <c r="O162" i="29"/>
  <c r="K162" i="29" s="1"/>
  <c r="B160" i="29"/>
  <c r="B159" i="29"/>
  <c r="P155" i="29"/>
  <c r="P153" i="29"/>
  <c r="P151" i="29"/>
  <c r="P150" i="29"/>
  <c r="P149" i="29"/>
  <c r="P148" i="29"/>
  <c r="B148" i="29"/>
  <c r="P147" i="29"/>
  <c r="B147" i="29"/>
  <c r="B146" i="29"/>
  <c r="B145" i="29"/>
  <c r="B144" i="29"/>
  <c r="P143" i="29"/>
  <c r="B143" i="29"/>
  <c r="P142" i="29"/>
  <c r="B142" i="29"/>
  <c r="P141" i="29"/>
  <c r="P140" i="29"/>
  <c r="P138" i="29"/>
  <c r="P137" i="29"/>
  <c r="P136" i="29"/>
  <c r="P135" i="29"/>
  <c r="P134" i="29"/>
  <c r="P133" i="29"/>
  <c r="P132" i="29"/>
  <c r="P131" i="29"/>
  <c r="P130" i="29"/>
  <c r="P129" i="29"/>
  <c r="P127" i="29"/>
  <c r="P126" i="29"/>
  <c r="P125" i="29"/>
  <c r="P124" i="29"/>
  <c r="P123" i="29"/>
  <c r="P122" i="29"/>
  <c r="P121" i="29"/>
  <c r="P120" i="29"/>
  <c r="B120" i="29"/>
  <c r="P119" i="29"/>
  <c r="B119" i="29"/>
  <c r="P118" i="29"/>
  <c r="B118" i="29"/>
  <c r="P117" i="29"/>
  <c r="I116" i="29"/>
  <c r="K116" i="29" s="1"/>
  <c r="H116" i="29"/>
  <c r="B116" i="29"/>
  <c r="I115" i="29"/>
  <c r="K115" i="29" s="1"/>
  <c r="H115" i="29"/>
  <c r="B115" i="29"/>
  <c r="B114" i="29"/>
  <c r="I112" i="29"/>
  <c r="H112" i="29"/>
  <c r="I110" i="29"/>
  <c r="H110" i="29"/>
  <c r="B110" i="29"/>
  <c r="I109" i="29"/>
  <c r="H109" i="29"/>
  <c r="B109" i="29"/>
  <c r="I108" i="29"/>
  <c r="K108" i="29" s="1"/>
  <c r="H108" i="29"/>
  <c r="B108" i="29"/>
  <c r="I106" i="29"/>
  <c r="H106" i="29"/>
  <c r="B106" i="29"/>
  <c r="I105" i="29"/>
  <c r="H105" i="29"/>
  <c r="B105" i="29"/>
  <c r="I104" i="29"/>
  <c r="H104" i="29"/>
  <c r="B104" i="29"/>
  <c r="I103" i="29"/>
  <c r="H103" i="29"/>
  <c r="B103" i="29"/>
  <c r="I79" i="29"/>
  <c r="H79" i="29"/>
  <c r="H160" i="29" s="1"/>
  <c r="B79" i="29"/>
  <c r="I78" i="29"/>
  <c r="H78" i="29"/>
  <c r="H159" i="29" s="1"/>
  <c r="B78" i="29"/>
  <c r="I77" i="29"/>
  <c r="H77" i="29"/>
  <c r="H158" i="29" s="1"/>
  <c r="B77" i="29"/>
  <c r="I76" i="29"/>
  <c r="H76" i="29"/>
  <c r="H157" i="29" s="1"/>
  <c r="I75" i="29"/>
  <c r="H75" i="29"/>
  <c r="H156" i="29" s="1"/>
  <c r="B75" i="29"/>
  <c r="I74" i="29"/>
  <c r="H74" i="29"/>
  <c r="H155" i="29" s="1"/>
  <c r="B74" i="29"/>
  <c r="I73" i="29"/>
  <c r="H73" i="29"/>
  <c r="H153" i="29" s="1"/>
  <c r="B73" i="29"/>
  <c r="I66" i="29"/>
  <c r="H66" i="29"/>
  <c r="H146" i="29" s="1"/>
  <c r="B66" i="29"/>
  <c r="I65" i="29"/>
  <c r="H65" i="29"/>
  <c r="H145" i="29" s="1"/>
  <c r="B65" i="29"/>
  <c r="I64" i="29"/>
  <c r="K64" i="29" s="1"/>
  <c r="H64" i="29"/>
  <c r="B64" i="29"/>
  <c r="I39" i="29"/>
  <c r="H39" i="29"/>
  <c r="H121" i="29" s="1"/>
  <c r="B39" i="29"/>
  <c r="I36" i="29"/>
  <c r="H36" i="29"/>
  <c r="H118" i="29" s="1"/>
  <c r="B36" i="29"/>
  <c r="I35" i="29"/>
  <c r="H35" i="29"/>
  <c r="H117" i="29" s="1"/>
  <c r="B35" i="29"/>
  <c r="I34" i="29"/>
  <c r="H34" i="29"/>
  <c r="B34" i="29"/>
  <c r="I29" i="29"/>
  <c r="H29" i="29"/>
  <c r="B29" i="29"/>
  <c r="I28" i="29"/>
  <c r="K28" i="29" s="1"/>
  <c r="H28" i="29"/>
  <c r="B28" i="29"/>
  <c r="I27" i="29"/>
  <c r="K27" i="29" s="1"/>
  <c r="H27" i="29"/>
  <c r="B27" i="29"/>
  <c r="I26" i="29"/>
  <c r="H26" i="29"/>
  <c r="B26" i="29"/>
  <c r="I19" i="29"/>
  <c r="K19" i="29" s="1"/>
  <c r="H19" i="29"/>
  <c r="B19" i="29"/>
  <c r="T15" i="29"/>
  <c r="I14" i="29"/>
  <c r="H14" i="29"/>
  <c r="B14" i="29"/>
  <c r="I13" i="29"/>
  <c r="H13" i="29"/>
  <c r="B13" i="29"/>
  <c r="I12" i="29"/>
  <c r="H12" i="29"/>
  <c r="B12" i="29"/>
  <c r="I11" i="29"/>
  <c r="H11" i="29"/>
  <c r="B11" i="29"/>
  <c r="O10" i="29"/>
  <c r="P10" i="29" s="1"/>
  <c r="B10" i="29"/>
  <c r="N114" i="28"/>
  <c r="P114" i="28" s="1"/>
  <c r="N110" i="28"/>
  <c r="N104" i="28"/>
  <c r="N103" i="28"/>
  <c r="N72" i="28"/>
  <c r="N65" i="28"/>
  <c r="N33" i="28"/>
  <c r="N31" i="28"/>
  <c r="N14" i="28"/>
  <c r="N32" i="28" s="1"/>
  <c r="P162" i="28"/>
  <c r="L162" i="28" s="1"/>
  <c r="O162" i="28"/>
  <c r="K162" i="28" s="1"/>
  <c r="B160" i="28"/>
  <c r="B159" i="28"/>
  <c r="P155" i="28"/>
  <c r="P153" i="28"/>
  <c r="P151" i="28"/>
  <c r="P150" i="28"/>
  <c r="P149" i="28"/>
  <c r="P148" i="28"/>
  <c r="B148" i="28"/>
  <c r="P147" i="28"/>
  <c r="B147" i="28"/>
  <c r="P146" i="28"/>
  <c r="B146" i="28"/>
  <c r="B145" i="28"/>
  <c r="B144" i="28"/>
  <c r="P143" i="28"/>
  <c r="B143" i="28"/>
  <c r="P142" i="28"/>
  <c r="B142" i="28"/>
  <c r="P141" i="28"/>
  <c r="P140" i="28"/>
  <c r="P139" i="28"/>
  <c r="P138" i="28"/>
  <c r="P137" i="28"/>
  <c r="P136" i="28"/>
  <c r="P135" i="28"/>
  <c r="P134" i="28"/>
  <c r="P133" i="28"/>
  <c r="P132" i="28"/>
  <c r="P131" i="28"/>
  <c r="P130" i="28"/>
  <c r="P129" i="28"/>
  <c r="P127" i="28"/>
  <c r="P126" i="28"/>
  <c r="P125" i="28"/>
  <c r="P124" i="28"/>
  <c r="P123" i="28"/>
  <c r="P122" i="28"/>
  <c r="P121" i="28"/>
  <c r="P120" i="28"/>
  <c r="B120" i="28"/>
  <c r="P119" i="28"/>
  <c r="B119" i="28"/>
  <c r="P118" i="28"/>
  <c r="B118" i="28"/>
  <c r="P117" i="28"/>
  <c r="I116" i="28"/>
  <c r="K116" i="28" s="1"/>
  <c r="H116" i="28"/>
  <c r="B116" i="28"/>
  <c r="B115" i="28"/>
  <c r="B114" i="28"/>
  <c r="P112" i="28"/>
  <c r="I112" i="28"/>
  <c r="K112" i="28" s="1"/>
  <c r="H112" i="28"/>
  <c r="I110" i="28"/>
  <c r="H110" i="28"/>
  <c r="B110" i="28"/>
  <c r="I109" i="28"/>
  <c r="H109" i="28"/>
  <c r="B109" i="28"/>
  <c r="I108" i="28"/>
  <c r="K108" i="28" s="1"/>
  <c r="H108" i="28"/>
  <c r="B108" i="28"/>
  <c r="I106" i="28"/>
  <c r="H106" i="28"/>
  <c r="B106" i="28"/>
  <c r="I105" i="28"/>
  <c r="H105" i="28"/>
  <c r="B105" i="28"/>
  <c r="I104" i="28"/>
  <c r="H104" i="28"/>
  <c r="B104" i="28"/>
  <c r="I103" i="28"/>
  <c r="H103" i="28"/>
  <c r="B103" i="28"/>
  <c r="I79" i="28"/>
  <c r="H79" i="28"/>
  <c r="H160" i="28" s="1"/>
  <c r="B79" i="28"/>
  <c r="I78" i="28"/>
  <c r="H78" i="28"/>
  <c r="H159" i="28" s="1"/>
  <c r="B78" i="28"/>
  <c r="I77" i="28"/>
  <c r="H77" i="28"/>
  <c r="H158" i="28" s="1"/>
  <c r="B77" i="28"/>
  <c r="I76" i="28"/>
  <c r="H76" i="28"/>
  <c r="H157" i="28" s="1"/>
  <c r="I75" i="28"/>
  <c r="H75" i="28"/>
  <c r="H156" i="28" s="1"/>
  <c r="B75" i="28"/>
  <c r="I74" i="28"/>
  <c r="H74" i="28"/>
  <c r="H155" i="28" s="1"/>
  <c r="B74" i="28"/>
  <c r="I73" i="28"/>
  <c r="H73" i="28"/>
  <c r="H153" i="28" s="1"/>
  <c r="B73" i="28"/>
  <c r="I66" i="28"/>
  <c r="H66" i="28"/>
  <c r="H146" i="28" s="1"/>
  <c r="B66" i="28"/>
  <c r="I65" i="28"/>
  <c r="H65" i="28"/>
  <c r="H145" i="28" s="1"/>
  <c r="B65" i="28"/>
  <c r="I64" i="28"/>
  <c r="K64" i="28" s="1"/>
  <c r="H64" i="28"/>
  <c r="B64" i="28"/>
  <c r="I39" i="28"/>
  <c r="H39" i="28"/>
  <c r="H121" i="28" s="1"/>
  <c r="B39" i="28"/>
  <c r="I36" i="28"/>
  <c r="H36" i="28"/>
  <c r="H118" i="28" s="1"/>
  <c r="B36" i="28"/>
  <c r="I35" i="28"/>
  <c r="H35" i="28"/>
  <c r="H117" i="28" s="1"/>
  <c r="B35" i="28"/>
  <c r="I34" i="28"/>
  <c r="H34" i="28"/>
  <c r="B34" i="28"/>
  <c r="I29" i="28"/>
  <c r="H29" i="28"/>
  <c r="B29" i="28"/>
  <c r="I28" i="28"/>
  <c r="K28" i="28" s="1"/>
  <c r="H28" i="28"/>
  <c r="B28" i="28"/>
  <c r="I27" i="28"/>
  <c r="K27" i="28" s="1"/>
  <c r="H27" i="28"/>
  <c r="B27" i="28"/>
  <c r="B26" i="28"/>
  <c r="I19" i="28"/>
  <c r="K19" i="28" s="1"/>
  <c r="H19" i="28"/>
  <c r="B19" i="28"/>
  <c r="T15" i="28"/>
  <c r="I14" i="28"/>
  <c r="H14" i="28"/>
  <c r="B14" i="28"/>
  <c r="I13" i="28"/>
  <c r="H13" i="28"/>
  <c r="B13" i="28"/>
  <c r="I12" i="28"/>
  <c r="H12" i="28"/>
  <c r="B12" i="28"/>
  <c r="I11" i="28"/>
  <c r="H11" i="28"/>
  <c r="B11" i="28"/>
  <c r="O10" i="28"/>
  <c r="P10" i="28" s="1"/>
  <c r="B10" i="28"/>
  <c r="N110" i="27"/>
  <c r="N111" i="27" s="1"/>
  <c r="N105" i="27"/>
  <c r="N104" i="27"/>
  <c r="N79" i="27"/>
  <c r="N78" i="27"/>
  <c r="N159" i="27" s="1"/>
  <c r="P159" i="27" s="1"/>
  <c r="N72" i="27"/>
  <c r="N65" i="27"/>
  <c r="N11" i="27" s="1"/>
  <c r="N33" i="27"/>
  <c r="N31" i="27"/>
  <c r="N14" i="27"/>
  <c r="N32" i="27" s="1"/>
  <c r="P162" i="27"/>
  <c r="L162" i="27" s="1"/>
  <c r="O162" i="27"/>
  <c r="K162" i="27" s="1"/>
  <c r="B160" i="27"/>
  <c r="B159" i="27"/>
  <c r="P155" i="27"/>
  <c r="P153" i="27"/>
  <c r="P151" i="27"/>
  <c r="P150" i="27"/>
  <c r="P149" i="27"/>
  <c r="P148" i="27"/>
  <c r="B148" i="27"/>
  <c r="P147" i="27"/>
  <c r="B147" i="27"/>
  <c r="P146" i="27"/>
  <c r="B146" i="27"/>
  <c r="B145" i="27"/>
  <c r="B144" i="27"/>
  <c r="P143" i="27"/>
  <c r="B143" i="27"/>
  <c r="P142" i="27"/>
  <c r="B142" i="27"/>
  <c r="P141" i="27"/>
  <c r="P140" i="27"/>
  <c r="P139" i="27"/>
  <c r="P138" i="27"/>
  <c r="P137" i="27"/>
  <c r="P136" i="27"/>
  <c r="P135" i="27"/>
  <c r="P134" i="27"/>
  <c r="P133" i="27"/>
  <c r="P132" i="27"/>
  <c r="P131" i="27"/>
  <c r="P130" i="27"/>
  <c r="P129" i="27"/>
  <c r="P127" i="27"/>
  <c r="P126" i="27"/>
  <c r="P125" i="27"/>
  <c r="P124" i="27"/>
  <c r="P123" i="27"/>
  <c r="P122" i="27"/>
  <c r="P121" i="27"/>
  <c r="P120" i="27"/>
  <c r="B120" i="27"/>
  <c r="P119" i="27"/>
  <c r="B119" i="27"/>
  <c r="P118" i="27"/>
  <c r="B118" i="27"/>
  <c r="P117" i="27"/>
  <c r="I116" i="27"/>
  <c r="K116" i="27" s="1"/>
  <c r="H116" i="27"/>
  <c r="B116" i="27"/>
  <c r="B115" i="27"/>
  <c r="P114" i="27"/>
  <c r="B114" i="27"/>
  <c r="P112" i="27"/>
  <c r="I112" i="27"/>
  <c r="K112" i="27" s="1"/>
  <c r="H112" i="27"/>
  <c r="I110" i="27"/>
  <c r="H110" i="27"/>
  <c r="B110" i="27"/>
  <c r="I109" i="27"/>
  <c r="H109" i="27"/>
  <c r="B109" i="27"/>
  <c r="I108" i="27"/>
  <c r="K108" i="27" s="1"/>
  <c r="H108" i="27"/>
  <c r="B108" i="27"/>
  <c r="I106" i="27"/>
  <c r="H106" i="27"/>
  <c r="B106" i="27"/>
  <c r="I105" i="27"/>
  <c r="H105" i="27"/>
  <c r="B105" i="27"/>
  <c r="I104" i="27"/>
  <c r="H104" i="27"/>
  <c r="B104" i="27"/>
  <c r="I103" i="27"/>
  <c r="H103" i="27"/>
  <c r="B103" i="27"/>
  <c r="I79" i="27"/>
  <c r="H79" i="27"/>
  <c r="H160" i="27" s="1"/>
  <c r="B79" i="27"/>
  <c r="I78" i="27"/>
  <c r="H78" i="27"/>
  <c r="H159" i="27" s="1"/>
  <c r="B78" i="27"/>
  <c r="I77" i="27"/>
  <c r="H77" i="27"/>
  <c r="H158" i="27" s="1"/>
  <c r="B77" i="27"/>
  <c r="I76" i="27"/>
  <c r="H76" i="27"/>
  <c r="H157" i="27" s="1"/>
  <c r="I75" i="27"/>
  <c r="H75" i="27"/>
  <c r="H156" i="27" s="1"/>
  <c r="B75" i="27"/>
  <c r="I74" i="27"/>
  <c r="I154" i="27" s="1"/>
  <c r="H74" i="27"/>
  <c r="B74" i="27"/>
  <c r="I73" i="27"/>
  <c r="H73" i="27"/>
  <c r="H153" i="27" s="1"/>
  <c r="B73" i="27"/>
  <c r="I66" i="27"/>
  <c r="H66" i="27"/>
  <c r="H146" i="27" s="1"/>
  <c r="B66" i="27"/>
  <c r="I65" i="27"/>
  <c r="H65" i="27"/>
  <c r="H145" i="27" s="1"/>
  <c r="B65" i="27"/>
  <c r="I64" i="27"/>
  <c r="K64" i="27" s="1"/>
  <c r="H64" i="27"/>
  <c r="B64" i="27"/>
  <c r="I39" i="27"/>
  <c r="H39" i="27"/>
  <c r="H121" i="27" s="1"/>
  <c r="B39" i="27"/>
  <c r="I36" i="27"/>
  <c r="H36" i="27"/>
  <c r="H118" i="27" s="1"/>
  <c r="B36" i="27"/>
  <c r="I35" i="27"/>
  <c r="H35" i="27"/>
  <c r="H117" i="27" s="1"/>
  <c r="B35" i="27"/>
  <c r="I34" i="27"/>
  <c r="H34" i="27"/>
  <c r="B34" i="27"/>
  <c r="I29" i="27"/>
  <c r="H29" i="27"/>
  <c r="B29" i="27"/>
  <c r="I28" i="27"/>
  <c r="K28" i="27" s="1"/>
  <c r="H28" i="27"/>
  <c r="B28" i="27"/>
  <c r="I27" i="27"/>
  <c r="K27" i="27" s="1"/>
  <c r="H27" i="27"/>
  <c r="B27" i="27"/>
  <c r="I26" i="27"/>
  <c r="H26" i="27"/>
  <c r="B26" i="27"/>
  <c r="I19" i="27"/>
  <c r="K19" i="27" s="1"/>
  <c r="H19" i="27"/>
  <c r="B19" i="27"/>
  <c r="I14" i="27"/>
  <c r="H14" i="27"/>
  <c r="B14" i="27"/>
  <c r="I13" i="27"/>
  <c r="H13" i="27"/>
  <c r="B13" i="27"/>
  <c r="I12" i="27"/>
  <c r="H12" i="27"/>
  <c r="B12" i="27"/>
  <c r="I11" i="27"/>
  <c r="H11" i="27"/>
  <c r="B11" i="27"/>
  <c r="O10" i="27"/>
  <c r="P10" i="27" s="1"/>
  <c r="B10" i="27"/>
  <c r="H114" i="26"/>
  <c r="J114" i="26" s="1"/>
  <c r="H31" i="26"/>
  <c r="H24" i="26"/>
  <c r="H14" i="26"/>
  <c r="H32" i="26" s="1"/>
  <c r="H11" i="26"/>
  <c r="J162" i="26"/>
  <c r="I162" i="26"/>
  <c r="J160" i="26"/>
  <c r="J159" i="26"/>
  <c r="J158" i="26"/>
  <c r="J157" i="26"/>
  <c r="J156" i="26"/>
  <c r="J155" i="26"/>
  <c r="J153" i="26"/>
  <c r="J152" i="26"/>
  <c r="J151" i="26"/>
  <c r="J150" i="26"/>
  <c r="J149" i="26"/>
  <c r="J148" i="26"/>
  <c r="J147" i="26"/>
  <c r="J146" i="26"/>
  <c r="J145" i="26"/>
  <c r="J143" i="26"/>
  <c r="J142" i="26"/>
  <c r="J141" i="26"/>
  <c r="J140" i="26"/>
  <c r="J139" i="26"/>
  <c r="J138" i="26"/>
  <c r="J137" i="26"/>
  <c r="J136" i="26"/>
  <c r="J135" i="26"/>
  <c r="J134" i="26"/>
  <c r="J133" i="26"/>
  <c r="J132" i="26"/>
  <c r="J131" i="26"/>
  <c r="J130" i="26"/>
  <c r="J129" i="26"/>
  <c r="J127" i="26"/>
  <c r="J126" i="26"/>
  <c r="J125" i="26"/>
  <c r="J124" i="26"/>
  <c r="J123" i="26"/>
  <c r="J122" i="26"/>
  <c r="J121" i="26"/>
  <c r="J120" i="26"/>
  <c r="J119" i="26"/>
  <c r="J118" i="26"/>
  <c r="J117" i="26"/>
  <c r="J112" i="26"/>
  <c r="P15" i="26"/>
  <c r="I10" i="26"/>
  <c r="J10" i="26" s="1"/>
  <c r="N17" i="29" l="1"/>
  <c r="N20" i="29" s="1"/>
  <c r="N12" i="33"/>
  <c r="N30" i="33" s="1"/>
  <c r="N11" i="31"/>
  <c r="N29" i="31" s="1"/>
  <c r="N17" i="30"/>
  <c r="N17" i="28"/>
  <c r="N11" i="28"/>
  <c r="N152" i="28"/>
  <c r="P152" i="28" s="1"/>
  <c r="N154" i="28"/>
  <c r="P154" i="28" s="1"/>
  <c r="N17" i="27"/>
  <c r="N29" i="27"/>
  <c r="N154" i="27"/>
  <c r="N152" i="27"/>
  <c r="H155" i="27"/>
  <c r="H154" i="27"/>
  <c r="N145" i="32"/>
  <c r="P145" i="32" s="1"/>
  <c r="N159" i="32"/>
  <c r="P159" i="32" s="1"/>
  <c r="N79" i="32"/>
  <c r="N158" i="32"/>
  <c r="P158" i="32" s="1"/>
  <c r="N75" i="29"/>
  <c r="N156" i="29" s="1"/>
  <c r="P156" i="29" s="1"/>
  <c r="N102" i="29"/>
  <c r="N21" i="27"/>
  <c r="N145" i="27"/>
  <c r="P145" i="27" s="1"/>
  <c r="N160" i="27"/>
  <c r="P160" i="27" s="1"/>
  <c r="N85" i="27"/>
  <c r="H20" i="26"/>
  <c r="H21" i="26"/>
  <c r="N85" i="28"/>
  <c r="N157" i="28"/>
  <c r="P157" i="28" s="1"/>
  <c r="N145" i="28"/>
  <c r="P145" i="28" s="1"/>
  <c r="N20" i="33"/>
  <c r="N22" i="33"/>
  <c r="N27" i="33" s="1"/>
  <c r="N79" i="30"/>
  <c r="N159" i="30"/>
  <c r="P159" i="30" s="1"/>
  <c r="N145" i="30"/>
  <c r="P145" i="30" s="1"/>
  <c r="N146" i="30"/>
  <c r="P146" i="30" s="1"/>
  <c r="N85" i="30"/>
  <c r="N157" i="30"/>
  <c r="P157" i="30" s="1"/>
  <c r="P152" i="29"/>
  <c r="N112" i="29"/>
  <c r="N145" i="29"/>
  <c r="P145" i="29" s="1"/>
  <c r="N157" i="29"/>
  <c r="P157" i="29" s="1"/>
  <c r="N160" i="29"/>
  <c r="P160" i="29" s="1"/>
  <c r="N23" i="29"/>
  <c r="N139" i="29"/>
  <c r="P139" i="29" s="1"/>
  <c r="N24" i="29"/>
  <c r="N146" i="29"/>
  <c r="P146" i="29" s="1"/>
  <c r="N159" i="29"/>
  <c r="P159" i="29" s="1"/>
  <c r="H29" i="26"/>
  <c r="N32" i="30"/>
  <c r="P114" i="30"/>
  <c r="I118" i="27"/>
  <c r="I157" i="27"/>
  <c r="I157" i="28"/>
  <c r="I145" i="27"/>
  <c r="I118" i="28"/>
  <c r="I160" i="28"/>
  <c r="K35" i="29"/>
  <c r="K117" i="29" s="1"/>
  <c r="I117" i="29"/>
  <c r="I118" i="29"/>
  <c r="I145" i="29"/>
  <c r="I146" i="29"/>
  <c r="I157" i="29"/>
  <c r="I155" i="31"/>
  <c r="I159" i="31"/>
  <c r="I145" i="33"/>
  <c r="I158" i="30"/>
  <c r="I156" i="31"/>
  <c r="I160" i="31"/>
  <c r="I159" i="32"/>
  <c r="I156" i="33"/>
  <c r="I155" i="27"/>
  <c r="I156" i="27"/>
  <c r="I159" i="27"/>
  <c r="I160" i="27"/>
  <c r="I145" i="28"/>
  <c r="I155" i="28"/>
  <c r="I156" i="28"/>
  <c r="I159" i="28"/>
  <c r="I160" i="29"/>
  <c r="K35" i="30"/>
  <c r="K117" i="30" s="1"/>
  <c r="I117" i="30"/>
  <c r="I118" i="30"/>
  <c r="I157" i="30"/>
  <c r="I158" i="31"/>
  <c r="I118" i="32"/>
  <c r="I145" i="32"/>
  <c r="I157" i="32"/>
  <c r="I158" i="32"/>
  <c r="I155" i="33"/>
  <c r="I158" i="27"/>
  <c r="I158" i="28"/>
  <c r="I155" i="29"/>
  <c r="I156" i="29"/>
  <c r="I159" i="29"/>
  <c r="I145" i="30"/>
  <c r="I146" i="30"/>
  <c r="I145" i="31"/>
  <c r="I157" i="31"/>
  <c r="I155" i="32"/>
  <c r="I156" i="32"/>
  <c r="I158" i="29"/>
  <c r="I121" i="30"/>
  <c r="I154" i="30"/>
  <c r="I155" i="30"/>
  <c r="I156" i="30"/>
  <c r="I159" i="30"/>
  <c r="I160" i="30"/>
  <c r="I121" i="32"/>
  <c r="I160" i="32"/>
  <c r="I157" i="33"/>
  <c r="I158" i="33"/>
  <c r="I159" i="33"/>
  <c r="I160" i="33"/>
  <c r="I153" i="33"/>
  <c r="I146" i="33"/>
  <c r="I153" i="32"/>
  <c r="I146" i="32"/>
  <c r="K35" i="32"/>
  <c r="K117" i="32" s="1"/>
  <c r="I117" i="32"/>
  <c r="I153" i="31"/>
  <c r="N75" i="31"/>
  <c r="N157" i="31"/>
  <c r="P157" i="31" s="1"/>
  <c r="I146" i="31"/>
  <c r="N22" i="31"/>
  <c r="N27" i="31" s="1"/>
  <c r="N145" i="31"/>
  <c r="P145" i="31" s="1"/>
  <c r="I121" i="31"/>
  <c r="K35" i="31"/>
  <c r="K117" i="31" s="1"/>
  <c r="I117" i="31"/>
  <c r="I153" i="29"/>
  <c r="I121" i="29"/>
  <c r="I153" i="28"/>
  <c r="I146" i="28"/>
  <c r="I121" i="28"/>
  <c r="K35" i="28"/>
  <c r="K117" i="28" s="1"/>
  <c r="I117" i="28"/>
  <c r="I153" i="27"/>
  <c r="I146" i="27"/>
  <c r="I121" i="27"/>
  <c r="K35" i="27"/>
  <c r="K117" i="27" s="1"/>
  <c r="I117" i="27"/>
  <c r="L73" i="33"/>
  <c r="L103" i="32"/>
  <c r="L79" i="33"/>
  <c r="L28" i="33"/>
  <c r="M28" i="33" s="1"/>
  <c r="L28" i="32"/>
  <c r="M28" i="32" s="1"/>
  <c r="L19" i="29"/>
  <c r="M19" i="29" s="1"/>
  <c r="L109" i="27"/>
  <c r="L103" i="29"/>
  <c r="L26" i="27"/>
  <c r="M26" i="27" s="1"/>
  <c r="L12" i="29"/>
  <c r="L12" i="33"/>
  <c r="L29" i="33"/>
  <c r="L115" i="33"/>
  <c r="M115" i="33" s="1"/>
  <c r="L116" i="33"/>
  <c r="L104" i="30"/>
  <c r="L112" i="30"/>
  <c r="L34" i="28"/>
  <c r="M34" i="28" s="1"/>
  <c r="L65" i="28"/>
  <c r="L11" i="33"/>
  <c r="L112" i="33"/>
  <c r="M112" i="33" s="1"/>
  <c r="L27" i="27"/>
  <c r="L28" i="27"/>
  <c r="M28" i="27" s="1"/>
  <c r="L77" i="27"/>
  <c r="L158" i="27" s="1"/>
  <c r="L26" i="29"/>
  <c r="M26" i="29" s="1"/>
  <c r="L28" i="29"/>
  <c r="M28" i="29" s="1"/>
  <c r="L35" i="29"/>
  <c r="L65" i="29"/>
  <c r="L66" i="29"/>
  <c r="L79" i="32"/>
  <c r="L64" i="33"/>
  <c r="M64" i="33" s="1"/>
  <c r="L104" i="33"/>
  <c r="L19" i="33"/>
  <c r="M19" i="33" s="1"/>
  <c r="L65" i="33"/>
  <c r="L66" i="33"/>
  <c r="N29" i="33"/>
  <c r="N111" i="33"/>
  <c r="L27" i="33"/>
  <c r="L34" i="33"/>
  <c r="M34" i="33" s="1"/>
  <c r="L103" i="33"/>
  <c r="L13" i="33"/>
  <c r="L14" i="33"/>
  <c r="L76" i="33"/>
  <c r="K19" i="33"/>
  <c r="L26" i="33"/>
  <c r="M26" i="33" s="1"/>
  <c r="K28" i="33"/>
  <c r="L35" i="33"/>
  <c r="L36" i="33"/>
  <c r="L74" i="33"/>
  <c r="L75" i="33"/>
  <c r="L77" i="33"/>
  <c r="L78" i="33"/>
  <c r="L39" i="33"/>
  <c r="L105" i="33"/>
  <c r="L106" i="33"/>
  <c r="L109" i="33"/>
  <c r="L110" i="33"/>
  <c r="K64" i="33"/>
  <c r="K112" i="33"/>
  <c r="L27" i="32"/>
  <c r="L34" i="32"/>
  <c r="M34" i="32" s="1"/>
  <c r="N58" i="32"/>
  <c r="L19" i="32"/>
  <c r="M19" i="32" s="1"/>
  <c r="N29" i="32"/>
  <c r="L12" i="32"/>
  <c r="L13" i="32"/>
  <c r="L65" i="32"/>
  <c r="L66" i="32"/>
  <c r="L14" i="32"/>
  <c r="L108" i="32"/>
  <c r="M108" i="32" s="1"/>
  <c r="L109" i="32"/>
  <c r="L110" i="32"/>
  <c r="L73" i="32"/>
  <c r="L75" i="32"/>
  <c r="L76" i="32"/>
  <c r="L77" i="32"/>
  <c r="L158" i="32" s="1"/>
  <c r="L115" i="32"/>
  <c r="L36" i="32"/>
  <c r="L64" i="32"/>
  <c r="M64" i="32" s="1"/>
  <c r="L104" i="32"/>
  <c r="L106" i="32"/>
  <c r="K108" i="32"/>
  <c r="L112" i="32"/>
  <c r="L26" i="32"/>
  <c r="M26" i="32" s="1"/>
  <c r="L35" i="32"/>
  <c r="L39" i="32"/>
  <c r="L74" i="32"/>
  <c r="L78" i="32"/>
  <c r="L105" i="32"/>
  <c r="L116" i="32"/>
  <c r="M116" i="32" s="1"/>
  <c r="L11" i="32"/>
  <c r="L29" i="32"/>
  <c r="L13" i="31"/>
  <c r="L19" i="31"/>
  <c r="M19" i="31" s="1"/>
  <c r="L26" i="31"/>
  <c r="M26" i="31" s="1"/>
  <c r="L103" i="31"/>
  <c r="L116" i="31"/>
  <c r="M116" i="31" s="1"/>
  <c r="N20" i="31"/>
  <c r="N77" i="31"/>
  <c r="N158" i="31" s="1"/>
  <c r="P158" i="31" s="1"/>
  <c r="N30" i="31"/>
  <c r="N102" i="31"/>
  <c r="N85" i="31"/>
  <c r="L64" i="31"/>
  <c r="M64" i="31" s="1"/>
  <c r="L108" i="31"/>
  <c r="M108" i="31" s="1"/>
  <c r="L66" i="31"/>
  <c r="L112" i="31"/>
  <c r="L14" i="31"/>
  <c r="L77" i="31"/>
  <c r="L158" i="31" s="1"/>
  <c r="L78" i="31"/>
  <c r="L110" i="31"/>
  <c r="L28" i="31"/>
  <c r="M28" i="31" s="1"/>
  <c r="L36" i="31"/>
  <c r="L12" i="31"/>
  <c r="L27" i="31"/>
  <c r="L79" i="31"/>
  <c r="L160" i="31" s="1"/>
  <c r="K28" i="31"/>
  <c r="K64" i="31"/>
  <c r="L75" i="31"/>
  <c r="L156" i="31" s="1"/>
  <c r="L76" i="31"/>
  <c r="L157" i="31" s="1"/>
  <c r="L105" i="31"/>
  <c r="K108" i="31"/>
  <c r="L11" i="31"/>
  <c r="L34" i="31"/>
  <c r="M34" i="31" s="1"/>
  <c r="L35" i="31"/>
  <c r="L39" i="31"/>
  <c r="L73" i="31"/>
  <c r="L106" i="31"/>
  <c r="L65" i="31"/>
  <c r="L104" i="31"/>
  <c r="L109" i="31"/>
  <c r="L29" i="31"/>
  <c r="L74" i="31"/>
  <c r="N77" i="30"/>
  <c r="N12" i="30"/>
  <c r="L14" i="30"/>
  <c r="L79" i="30"/>
  <c r="L115" i="30"/>
  <c r="M115" i="30" s="1"/>
  <c r="N24" i="30"/>
  <c r="L12" i="30"/>
  <c r="L19" i="30"/>
  <c r="M19" i="30" s="1"/>
  <c r="L36" i="30"/>
  <c r="L73" i="30"/>
  <c r="N102" i="30"/>
  <c r="N75" i="30"/>
  <c r="L28" i="30"/>
  <c r="M28" i="30" s="1"/>
  <c r="L39" i="30"/>
  <c r="L13" i="30"/>
  <c r="L35" i="30"/>
  <c r="L77" i="30"/>
  <c r="L11" i="30"/>
  <c r="L29" i="30"/>
  <c r="L34" i="30"/>
  <c r="M34" i="30" s="1"/>
  <c r="L103" i="30"/>
  <c r="L110" i="30"/>
  <c r="L66" i="30"/>
  <c r="L74" i="30"/>
  <c r="L78" i="30"/>
  <c r="L105" i="30"/>
  <c r="L116" i="30"/>
  <c r="L108" i="30"/>
  <c r="M108" i="30" s="1"/>
  <c r="L109" i="30"/>
  <c r="L26" i="30"/>
  <c r="M26" i="30" s="1"/>
  <c r="L27" i="30"/>
  <c r="L64" i="30"/>
  <c r="M64" i="30" s="1"/>
  <c r="L65" i="30"/>
  <c r="L75" i="30"/>
  <c r="L76" i="30"/>
  <c r="L157" i="30" s="1"/>
  <c r="L106" i="30"/>
  <c r="L109" i="29"/>
  <c r="L116" i="29"/>
  <c r="M116" i="29" s="1"/>
  <c r="N85" i="29"/>
  <c r="N111" i="29"/>
  <c r="N77" i="29"/>
  <c r="L27" i="29"/>
  <c r="L73" i="29"/>
  <c r="L106" i="29"/>
  <c r="L11" i="29"/>
  <c r="L34" i="29"/>
  <c r="M34" i="29" s="1"/>
  <c r="L39" i="29"/>
  <c r="L76" i="29"/>
  <c r="L157" i="29" s="1"/>
  <c r="L14" i="29"/>
  <c r="L36" i="29"/>
  <c r="L74" i="29"/>
  <c r="L78" i="29"/>
  <c r="L108" i="29"/>
  <c r="M108" i="29" s="1"/>
  <c r="L13" i="29"/>
  <c r="L104" i="29"/>
  <c r="L110" i="29"/>
  <c r="L115" i="29"/>
  <c r="L77" i="29"/>
  <c r="L64" i="29"/>
  <c r="M64" i="29" s="1"/>
  <c r="L79" i="29"/>
  <c r="L112" i="29"/>
  <c r="L29" i="29"/>
  <c r="L105" i="29"/>
  <c r="L75" i="29"/>
  <c r="L28" i="28"/>
  <c r="M28" i="28" s="1"/>
  <c r="L109" i="28"/>
  <c r="L27" i="28"/>
  <c r="N77" i="28"/>
  <c r="N79" i="28" s="1"/>
  <c r="N78" i="28"/>
  <c r="N102" i="28"/>
  <c r="N24" i="28"/>
  <c r="N111" i="28"/>
  <c r="N75" i="28"/>
  <c r="L29" i="28"/>
  <c r="L35" i="28"/>
  <c r="L77" i="28"/>
  <c r="L108" i="28"/>
  <c r="M108" i="28" s="1"/>
  <c r="L12" i="28"/>
  <c r="L39" i="28"/>
  <c r="L64" i="28"/>
  <c r="M64" i="28" s="1"/>
  <c r="L103" i="28"/>
  <c r="L75" i="28"/>
  <c r="L156" i="28" s="1"/>
  <c r="L76" i="28"/>
  <c r="L157" i="28" s="1"/>
  <c r="L106" i="28"/>
  <c r="L11" i="28"/>
  <c r="L14" i="28"/>
  <c r="L66" i="28"/>
  <c r="L74" i="28"/>
  <c r="L79" i="28"/>
  <c r="L105" i="28"/>
  <c r="L110" i="28"/>
  <c r="L13" i="28"/>
  <c r="L19" i="28"/>
  <c r="M19" i="28" s="1"/>
  <c r="L116" i="28"/>
  <c r="M116" i="28" s="1"/>
  <c r="L36" i="28"/>
  <c r="L78" i="28"/>
  <c r="L159" i="28" s="1"/>
  <c r="L73" i="28"/>
  <c r="L104" i="28"/>
  <c r="L112" i="28"/>
  <c r="M112" i="28" s="1"/>
  <c r="L65" i="27"/>
  <c r="L76" i="27"/>
  <c r="L157" i="27" s="1"/>
  <c r="L116" i="27"/>
  <c r="M116" i="27" s="1"/>
  <c r="N12" i="27"/>
  <c r="N30" i="27" s="1"/>
  <c r="N24" i="27"/>
  <c r="N20" i="27"/>
  <c r="L64" i="27"/>
  <c r="M64" i="27" s="1"/>
  <c r="L108" i="27"/>
  <c r="M108" i="27" s="1"/>
  <c r="N76" i="27"/>
  <c r="H12" i="26"/>
  <c r="H30" i="26" s="1"/>
  <c r="L29" i="27"/>
  <c r="L34" i="27"/>
  <c r="M34" i="27" s="1"/>
  <c r="L35" i="27"/>
  <c r="L39" i="27"/>
  <c r="L75" i="27"/>
  <c r="L156" i="27" s="1"/>
  <c r="L106" i="27"/>
  <c r="L12" i="27"/>
  <c r="L103" i="27"/>
  <c r="L11" i="27"/>
  <c r="L14" i="27"/>
  <c r="L13" i="27"/>
  <c r="L19" i="27"/>
  <c r="M19" i="27" s="1"/>
  <c r="L66" i="27"/>
  <c r="L74" i="27"/>
  <c r="L154" i="27" s="1"/>
  <c r="L79" i="27"/>
  <c r="L105" i="27"/>
  <c r="L110" i="27"/>
  <c r="L36" i="27"/>
  <c r="L78" i="27"/>
  <c r="L73" i="27"/>
  <c r="L104" i="27"/>
  <c r="L112" i="27"/>
  <c r="M112" i="27" s="1"/>
  <c r="H22" i="26"/>
  <c r="H27" i="26" s="1"/>
  <c r="J164" i="26"/>
  <c r="J165" i="26" s="1"/>
  <c r="J168" i="26" s="1"/>
  <c r="J170" i="26" s="1"/>
  <c r="J173" i="26" s="1"/>
  <c r="N21" i="30" l="1"/>
  <c r="N21" i="28"/>
  <c r="P152" i="27"/>
  <c r="P154" i="27"/>
  <c r="N22" i="27"/>
  <c r="N27" i="27" s="1"/>
  <c r="N140" i="32"/>
  <c r="P140" i="32" s="1"/>
  <c r="N20" i="32"/>
  <c r="N27" i="32" s="1"/>
  <c r="N21" i="32"/>
  <c r="N22" i="32"/>
  <c r="N160" i="32"/>
  <c r="P160" i="32" s="1"/>
  <c r="N22" i="29"/>
  <c r="N157" i="27"/>
  <c r="P157" i="27" s="1"/>
  <c r="N160" i="28"/>
  <c r="P160" i="28" s="1"/>
  <c r="N156" i="28"/>
  <c r="P156" i="28" s="1"/>
  <c r="N159" i="28"/>
  <c r="P159" i="28" s="1"/>
  <c r="N158" i="28"/>
  <c r="P158" i="28" s="1"/>
  <c r="N158" i="30"/>
  <c r="P158" i="30" s="1"/>
  <c r="N156" i="30"/>
  <c r="P156" i="30" s="1"/>
  <c r="N160" i="30"/>
  <c r="P160" i="30" s="1"/>
  <c r="N158" i="29"/>
  <c r="P158" i="29" s="1"/>
  <c r="P164" i="29" s="1"/>
  <c r="P165" i="29" s="1"/>
  <c r="P168" i="29" s="1"/>
  <c r="P170" i="29" s="1"/>
  <c r="P173" i="29" s="1"/>
  <c r="N21" i="29"/>
  <c r="N30" i="30"/>
  <c r="N22" i="30"/>
  <c r="N27" i="30" s="1"/>
  <c r="L118" i="27"/>
  <c r="L118" i="28"/>
  <c r="L117" i="30"/>
  <c r="L156" i="29"/>
  <c r="L146" i="30"/>
  <c r="L159" i="32"/>
  <c r="L159" i="33"/>
  <c r="L160" i="32"/>
  <c r="L155" i="27"/>
  <c r="L158" i="29"/>
  <c r="L118" i="29"/>
  <c r="L155" i="33"/>
  <c r="L117" i="29"/>
  <c r="L160" i="28"/>
  <c r="L160" i="29"/>
  <c r="L159" i="29"/>
  <c r="L156" i="30"/>
  <c r="L121" i="30"/>
  <c r="L160" i="30"/>
  <c r="L159" i="31"/>
  <c r="L155" i="32"/>
  <c r="L157" i="32"/>
  <c r="L145" i="32"/>
  <c r="L158" i="33"/>
  <c r="L157" i="33"/>
  <c r="L146" i="29"/>
  <c r="L160" i="33"/>
  <c r="L155" i="30"/>
  <c r="L118" i="30"/>
  <c r="L155" i="31"/>
  <c r="L145" i="28"/>
  <c r="L159" i="27"/>
  <c r="L160" i="27"/>
  <c r="L145" i="27"/>
  <c r="L155" i="28"/>
  <c r="L158" i="28"/>
  <c r="L155" i="29"/>
  <c r="L145" i="30"/>
  <c r="L159" i="30"/>
  <c r="L158" i="30"/>
  <c r="L154" i="30"/>
  <c r="L145" i="31"/>
  <c r="L118" i="31"/>
  <c r="L121" i="32"/>
  <c r="L118" i="32"/>
  <c r="L156" i="32"/>
  <c r="L156" i="33"/>
  <c r="L145" i="33"/>
  <c r="L145" i="29"/>
  <c r="L153" i="33"/>
  <c r="L146" i="33"/>
  <c r="L153" i="32"/>
  <c r="L146" i="32"/>
  <c r="L117" i="32"/>
  <c r="L153" i="31"/>
  <c r="N156" i="31"/>
  <c r="P156" i="31" s="1"/>
  <c r="L146" i="31"/>
  <c r="L121" i="31"/>
  <c r="L117" i="31"/>
  <c r="L153" i="29"/>
  <c r="L121" i="29"/>
  <c r="L153" i="28"/>
  <c r="L146" i="28"/>
  <c r="L121" i="28"/>
  <c r="L117" i="28"/>
  <c r="L153" i="27"/>
  <c r="L146" i="27"/>
  <c r="L121" i="27"/>
  <c r="L117" i="27"/>
  <c r="K163" i="33"/>
  <c r="K165" i="33" s="1"/>
  <c r="K163" i="32"/>
  <c r="K165" i="32" s="1"/>
  <c r="N79" i="31"/>
  <c r="K163" i="31"/>
  <c r="K165" i="31" s="1"/>
  <c r="N20" i="30"/>
  <c r="K163" i="30"/>
  <c r="K165" i="30" s="1"/>
  <c r="K163" i="29"/>
  <c r="K165" i="29" s="1"/>
  <c r="N29" i="28"/>
  <c r="N20" i="28"/>
  <c r="N22" i="28"/>
  <c r="N27" i="28" s="1"/>
  <c r="K163" i="28"/>
  <c r="K165" i="28" s="1"/>
  <c r="N102" i="27"/>
  <c r="N77" i="27"/>
  <c r="N75" i="27"/>
  <c r="N156" i="27" s="1"/>
  <c r="P156" i="27" s="1"/>
  <c r="K163" i="27"/>
  <c r="K165" i="27" s="1"/>
  <c r="J175" i="26"/>
  <c r="J178" i="26" s="1"/>
  <c r="J180" i="26" s="1"/>
  <c r="G3934" i="13"/>
  <c r="G3940" i="13" s="1"/>
  <c r="D3925" i="13"/>
  <c r="C3925" i="13"/>
  <c r="D3924" i="13"/>
  <c r="G3915" i="13"/>
  <c r="G3914" i="13"/>
  <c r="G3907" i="13"/>
  <c r="G3906" i="13"/>
  <c r="G3905" i="13"/>
  <c r="G3904" i="13"/>
  <c r="G3903" i="13"/>
  <c r="G3886" i="13"/>
  <c r="G3892" i="13" s="1"/>
  <c r="D3877" i="13"/>
  <c r="C3877" i="13"/>
  <c r="D3876" i="13"/>
  <c r="G3871" i="13"/>
  <c r="G3859" i="13"/>
  <c r="G3858" i="13"/>
  <c r="G3857" i="13"/>
  <c r="G3856" i="13"/>
  <c r="G3855" i="13"/>
  <c r="G3839" i="13"/>
  <c r="G3845" i="13" s="1"/>
  <c r="D3829" i="13"/>
  <c r="G3821" i="13"/>
  <c r="G3820" i="13"/>
  <c r="G3819" i="13"/>
  <c r="G3811" i="13"/>
  <c r="G3810" i="13"/>
  <c r="G3809" i="13"/>
  <c r="G3808" i="13"/>
  <c r="G3807" i="13"/>
  <c r="G3802" i="13"/>
  <c r="B3802" i="13"/>
  <c r="A3802" i="13"/>
  <c r="D3786" i="13"/>
  <c r="G3706" i="13"/>
  <c r="G3712" i="13" s="1"/>
  <c r="D3698" i="13"/>
  <c r="C3698" i="13"/>
  <c r="D3697" i="13"/>
  <c r="G3688" i="13"/>
  <c r="G3680" i="13"/>
  <c r="G3679" i="13"/>
  <c r="G3678" i="13"/>
  <c r="G3676" i="13"/>
  <c r="G3675" i="13"/>
  <c r="F3659" i="13"/>
  <c r="E3659" i="13"/>
  <c r="F3651" i="13"/>
  <c r="D3651" i="13"/>
  <c r="C3651" i="13"/>
  <c r="F3650" i="13"/>
  <c r="D3650" i="13"/>
  <c r="G3641" i="13"/>
  <c r="G3633" i="13"/>
  <c r="G3632" i="13"/>
  <c r="G3631" i="13"/>
  <c r="G3630" i="13"/>
  <c r="G3629" i="13"/>
  <c r="G3628" i="13"/>
  <c r="G3614" i="13"/>
  <c r="G3618" i="13" s="1"/>
  <c r="G3587" i="13"/>
  <c r="G3586" i="13"/>
  <c r="G3585" i="13"/>
  <c r="G3584" i="13"/>
  <c r="G3583" i="13"/>
  <c r="F3566" i="13"/>
  <c r="E3566" i="13"/>
  <c r="F3558" i="13"/>
  <c r="D3558" i="13"/>
  <c r="C3558" i="13"/>
  <c r="F3557" i="13"/>
  <c r="D3557" i="13"/>
  <c r="G3548" i="13"/>
  <c r="G3540" i="13"/>
  <c r="G3539" i="13"/>
  <c r="G3538" i="13"/>
  <c r="D3537" i="13"/>
  <c r="G3537" i="13" s="1"/>
  <c r="G3536" i="13"/>
  <c r="G3535" i="13"/>
  <c r="F3520" i="13"/>
  <c r="G3520" i="13" s="1"/>
  <c r="G3526" i="13" s="1"/>
  <c r="G3512" i="13"/>
  <c r="F3511" i="13"/>
  <c r="D3511" i="13"/>
  <c r="G3502" i="13"/>
  <c r="G3495" i="13"/>
  <c r="G3494" i="13"/>
  <c r="G3493" i="13"/>
  <c r="G3492" i="13"/>
  <c r="G3491" i="13"/>
  <c r="G3330" i="13"/>
  <c r="G3336" i="13" s="1"/>
  <c r="D3322" i="13"/>
  <c r="C3322" i="13"/>
  <c r="D3321" i="13"/>
  <c r="G3305" i="13"/>
  <c r="G3304" i="13"/>
  <c r="G3303" i="13"/>
  <c r="G3302" i="13"/>
  <c r="G3301" i="13"/>
  <c r="A3301" i="13"/>
  <c r="F3284" i="13"/>
  <c r="E3284" i="13"/>
  <c r="F3276" i="13"/>
  <c r="D3276" i="13"/>
  <c r="C3276" i="13"/>
  <c r="F3275" i="13"/>
  <c r="D3275" i="13"/>
  <c r="G3259" i="13"/>
  <c r="G3258" i="13"/>
  <c r="G3257" i="13"/>
  <c r="G3256" i="13"/>
  <c r="G3255" i="13"/>
  <c r="A3255" i="13"/>
  <c r="F3238" i="13"/>
  <c r="E3238" i="13"/>
  <c r="F3230" i="13"/>
  <c r="D3230" i="13"/>
  <c r="C3230" i="13"/>
  <c r="F3229" i="13"/>
  <c r="D3229" i="13"/>
  <c r="G3213" i="13"/>
  <c r="G3212" i="13"/>
  <c r="G3211" i="13"/>
  <c r="G3210" i="13"/>
  <c r="G3209" i="13"/>
  <c r="A3209" i="13"/>
  <c r="F3193" i="13"/>
  <c r="E3193" i="13"/>
  <c r="F3185" i="13"/>
  <c r="D3185" i="13"/>
  <c r="C3185" i="13"/>
  <c r="F3184" i="13"/>
  <c r="D3184" i="13"/>
  <c r="G3168" i="13"/>
  <c r="G3167" i="13"/>
  <c r="G3166" i="13"/>
  <c r="G3165" i="13"/>
  <c r="G3164" i="13"/>
  <c r="A3164" i="13"/>
  <c r="F3148" i="13"/>
  <c r="E3148" i="13"/>
  <c r="F3140" i="13"/>
  <c r="D3140" i="13"/>
  <c r="C3140" i="13"/>
  <c r="F3139" i="13"/>
  <c r="D3139" i="13"/>
  <c r="G3123" i="13"/>
  <c r="G3122" i="13"/>
  <c r="G3121" i="13"/>
  <c r="G3120" i="13"/>
  <c r="G3119" i="13"/>
  <c r="A3119" i="13"/>
  <c r="F3103" i="13"/>
  <c r="E3103" i="13"/>
  <c r="F3095" i="13"/>
  <c r="D3095" i="13"/>
  <c r="C3095" i="13"/>
  <c r="F3094" i="13"/>
  <c r="D3094" i="13"/>
  <c r="G3078" i="13"/>
  <c r="G3077" i="13"/>
  <c r="G3076" i="13"/>
  <c r="G3075" i="13"/>
  <c r="G3074" i="13"/>
  <c r="A3074" i="13"/>
  <c r="F3057" i="13"/>
  <c r="G3057" i="13" s="1"/>
  <c r="G3063" i="13" s="1"/>
  <c r="F3049" i="13"/>
  <c r="D3049" i="13"/>
  <c r="C3049" i="13"/>
  <c r="F3048" i="13"/>
  <c r="D3048" i="13"/>
  <c r="G3039" i="13"/>
  <c r="G3032" i="13"/>
  <c r="G3031" i="13"/>
  <c r="G3030" i="13"/>
  <c r="G3029" i="13"/>
  <c r="A3029" i="13"/>
  <c r="F3012" i="13"/>
  <c r="G3012" i="13" s="1"/>
  <c r="G3018" i="13" s="1"/>
  <c r="F3004" i="13"/>
  <c r="D3004" i="13"/>
  <c r="C3004" i="13"/>
  <c r="F3003" i="13"/>
  <c r="D3003" i="13"/>
  <c r="G2994" i="13"/>
  <c r="G2987" i="13"/>
  <c r="G2986" i="13"/>
  <c r="G2985" i="13"/>
  <c r="G2984" i="13"/>
  <c r="A2984" i="13"/>
  <c r="F2967" i="13"/>
  <c r="G2967" i="13" s="1"/>
  <c r="G2973" i="13" s="1"/>
  <c r="F2959" i="13"/>
  <c r="D2959" i="13"/>
  <c r="C2959" i="13"/>
  <c r="F2958" i="13"/>
  <c r="D2958" i="13"/>
  <c r="G2949" i="13"/>
  <c r="G2942" i="13"/>
  <c r="G2941" i="13"/>
  <c r="G2940" i="13"/>
  <c r="G2939" i="13"/>
  <c r="A2939" i="13"/>
  <c r="F2922" i="13"/>
  <c r="G2922" i="13" s="1"/>
  <c r="G2928" i="13" s="1"/>
  <c r="F2914" i="13"/>
  <c r="D2914" i="13"/>
  <c r="C2914" i="13"/>
  <c r="F2913" i="13"/>
  <c r="D2913" i="13"/>
  <c r="G2904" i="13"/>
  <c r="G2897" i="13"/>
  <c r="G2896" i="13"/>
  <c r="G2895" i="13"/>
  <c r="G2894" i="13"/>
  <c r="A2894" i="13"/>
  <c r="F2877" i="13"/>
  <c r="G2877" i="13" s="1"/>
  <c r="G2883" i="13" s="1"/>
  <c r="F2869" i="13"/>
  <c r="D2869" i="13"/>
  <c r="F2868" i="13"/>
  <c r="D2868" i="13"/>
  <c r="G2859" i="13"/>
  <c r="G2852" i="13"/>
  <c r="G2851" i="13"/>
  <c r="G2850" i="13"/>
  <c r="G2849" i="13"/>
  <c r="A2859" i="13"/>
  <c r="F2832" i="13"/>
  <c r="G2832" i="13" s="1"/>
  <c r="G2838" i="13" s="1"/>
  <c r="F2824" i="13"/>
  <c r="D2824" i="13"/>
  <c r="C2824" i="13"/>
  <c r="F2823" i="13"/>
  <c r="D2823" i="13"/>
  <c r="G2814" i="13"/>
  <c r="G2807" i="13"/>
  <c r="G2806" i="13"/>
  <c r="G2805" i="13"/>
  <c r="G2804" i="13"/>
  <c r="A2814" i="13"/>
  <c r="F2787" i="13"/>
  <c r="G2787" i="13" s="1"/>
  <c r="G2793" i="13" s="1"/>
  <c r="F2779" i="13"/>
  <c r="D2779" i="13"/>
  <c r="C2779" i="13"/>
  <c r="F2778" i="13"/>
  <c r="D2778" i="13"/>
  <c r="G2769" i="13"/>
  <c r="G2762" i="13"/>
  <c r="G2761" i="13"/>
  <c r="G2760" i="13"/>
  <c r="G2759" i="13"/>
  <c r="A2759" i="13"/>
  <c r="F2742" i="13"/>
  <c r="G2742" i="13" s="1"/>
  <c r="G2748" i="13" s="1"/>
  <c r="F2734" i="13"/>
  <c r="D2734" i="13"/>
  <c r="C2734" i="13"/>
  <c r="F2733" i="13"/>
  <c r="D2733" i="13"/>
  <c r="G2724" i="13"/>
  <c r="G2717" i="13"/>
  <c r="G2716" i="13"/>
  <c r="G2715" i="13"/>
  <c r="G2714" i="13"/>
  <c r="A2714" i="13"/>
  <c r="F2697" i="13"/>
  <c r="G2697" i="13" s="1"/>
  <c r="G2703" i="13" s="1"/>
  <c r="F2689" i="13"/>
  <c r="D2689" i="13"/>
  <c r="C2689" i="13"/>
  <c r="F2688" i="13"/>
  <c r="D2688" i="13"/>
  <c r="D2679" i="13"/>
  <c r="G2679" i="13" s="1"/>
  <c r="G2672" i="13"/>
  <c r="G2671" i="13"/>
  <c r="G2670" i="13"/>
  <c r="G2669" i="13"/>
  <c r="A2679" i="13"/>
  <c r="F2652" i="13"/>
  <c r="G2652" i="13" s="1"/>
  <c r="G2658" i="13" s="1"/>
  <c r="F2644" i="13"/>
  <c r="D2644" i="13"/>
  <c r="C2644" i="13"/>
  <c r="F2643" i="13"/>
  <c r="D2643" i="13"/>
  <c r="D2634" i="13"/>
  <c r="G2634" i="13" s="1"/>
  <c r="G2627" i="13"/>
  <c r="G2626" i="13"/>
  <c r="G2625" i="13"/>
  <c r="G2624" i="13"/>
  <c r="A2634" i="13"/>
  <c r="F2607" i="13"/>
  <c r="G2607" i="13" s="1"/>
  <c r="G2613" i="13" s="1"/>
  <c r="G2599" i="13"/>
  <c r="F2598" i="13"/>
  <c r="D2598" i="13"/>
  <c r="G2589" i="13"/>
  <c r="G2582" i="13"/>
  <c r="G2581" i="13"/>
  <c r="G2580" i="13"/>
  <c r="G2579" i="13"/>
  <c r="A2589" i="13"/>
  <c r="F2562" i="13"/>
  <c r="G2562" i="13" s="1"/>
  <c r="G2568" i="13" s="1"/>
  <c r="G2554" i="13"/>
  <c r="F2553" i="13"/>
  <c r="D2553" i="13"/>
  <c r="G2544" i="13"/>
  <c r="G2537" i="13"/>
  <c r="G2536" i="13"/>
  <c r="G2535" i="13"/>
  <c r="G2534" i="13"/>
  <c r="A2544" i="13"/>
  <c r="F2517" i="13"/>
  <c r="G2517" i="13" s="1"/>
  <c r="G2523" i="13" s="1"/>
  <c r="G2509" i="13"/>
  <c r="F2508" i="13"/>
  <c r="D2508" i="13"/>
  <c r="G2499" i="13"/>
  <c r="G2492" i="13"/>
  <c r="G2491" i="13"/>
  <c r="G2490" i="13"/>
  <c r="G2489" i="13"/>
  <c r="A2499" i="13"/>
  <c r="G2472" i="13"/>
  <c r="G2478" i="13" s="1"/>
  <c r="G2464" i="13"/>
  <c r="F2463" i="13"/>
  <c r="D2463" i="13"/>
  <c r="G2454" i="13"/>
  <c r="G2447" i="13"/>
  <c r="G2446" i="13"/>
  <c r="G2445" i="13"/>
  <c r="G2444" i="13"/>
  <c r="F2426" i="13"/>
  <c r="G2426" i="13" s="1"/>
  <c r="G2432" i="13" s="1"/>
  <c r="G2418" i="13"/>
  <c r="F2417" i="13"/>
  <c r="D2417" i="13"/>
  <c r="G2408" i="13"/>
  <c r="G2401" i="13"/>
  <c r="G2400" i="13"/>
  <c r="G2399" i="13"/>
  <c r="G2398" i="13"/>
  <c r="A2408" i="13"/>
  <c r="F2381" i="13"/>
  <c r="G2381" i="13" s="1"/>
  <c r="G2387" i="13" s="1"/>
  <c r="G2373" i="13"/>
  <c r="F2372" i="13"/>
  <c r="D2372" i="13"/>
  <c r="G2363" i="13"/>
  <c r="G2356" i="13"/>
  <c r="G2355" i="13"/>
  <c r="G2354" i="13"/>
  <c r="G2353" i="13"/>
  <c r="F2335" i="13"/>
  <c r="G2335" i="13" s="1"/>
  <c r="G2341" i="13" s="1"/>
  <c r="G2327" i="13"/>
  <c r="F2326" i="13"/>
  <c r="D2326" i="13"/>
  <c r="G2317" i="13"/>
  <c r="G2310" i="13"/>
  <c r="G2309" i="13"/>
  <c r="G2308" i="13"/>
  <c r="G2307" i="13"/>
  <c r="F2291" i="13"/>
  <c r="G2291" i="13" s="1"/>
  <c r="G2297" i="13" s="1"/>
  <c r="G2283" i="13"/>
  <c r="F2282" i="13"/>
  <c r="D2282" i="13"/>
  <c r="G2273" i="13"/>
  <c r="G2266" i="13"/>
  <c r="G2265" i="13"/>
  <c r="G2264" i="13"/>
  <c r="G2263" i="13"/>
  <c r="F2244" i="13"/>
  <c r="G2244" i="13" s="1"/>
  <c r="G2250" i="13" s="1"/>
  <c r="F2236" i="13"/>
  <c r="D2236" i="13"/>
  <c r="C2236" i="13"/>
  <c r="F2235" i="13"/>
  <c r="D2235" i="13"/>
  <c r="G2226" i="13"/>
  <c r="G2219" i="13"/>
  <c r="G2218" i="13"/>
  <c r="G2217" i="13"/>
  <c r="G2216" i="13"/>
  <c r="F2199" i="13"/>
  <c r="G2199" i="13" s="1"/>
  <c r="G2205" i="13" s="1"/>
  <c r="F2191" i="13"/>
  <c r="D2191" i="13"/>
  <c r="C2191" i="13"/>
  <c r="F2190" i="13"/>
  <c r="D2190" i="13"/>
  <c r="G2181" i="13"/>
  <c r="G2174" i="13"/>
  <c r="G2173" i="13"/>
  <c r="G2172" i="13"/>
  <c r="G2171" i="13"/>
  <c r="F2154" i="13"/>
  <c r="G2154" i="13" s="1"/>
  <c r="G2160" i="13" s="1"/>
  <c r="F2146" i="13"/>
  <c r="D2146" i="13"/>
  <c r="C2146" i="13"/>
  <c r="F2145" i="13"/>
  <c r="D2145" i="13"/>
  <c r="G2136" i="13"/>
  <c r="G2129" i="13"/>
  <c r="G2128" i="13"/>
  <c r="G2127" i="13"/>
  <c r="G2126" i="13"/>
  <c r="F2109" i="13"/>
  <c r="G2109" i="13" s="1"/>
  <c r="G2115" i="13" s="1"/>
  <c r="F2101" i="13"/>
  <c r="D2101" i="13"/>
  <c r="C2101" i="13"/>
  <c r="F2100" i="13"/>
  <c r="D2100" i="13"/>
  <c r="G2091" i="13"/>
  <c r="G2084" i="13"/>
  <c r="G2083" i="13"/>
  <c r="G2082" i="13"/>
  <c r="G2081" i="13"/>
  <c r="F2064" i="13"/>
  <c r="G2064" i="13" s="1"/>
  <c r="G2070" i="13" s="1"/>
  <c r="F2056" i="13"/>
  <c r="D2056" i="13"/>
  <c r="C2056" i="13"/>
  <c r="F2055" i="13"/>
  <c r="D2055" i="13"/>
  <c r="G2046" i="13"/>
  <c r="G2039" i="13"/>
  <c r="G2038" i="13"/>
  <c r="G2037" i="13"/>
  <c r="G2036" i="13"/>
  <c r="F2019" i="13"/>
  <c r="G2019" i="13" s="1"/>
  <c r="G2025" i="13" s="1"/>
  <c r="G2011" i="13"/>
  <c r="F2010" i="13"/>
  <c r="D2010" i="13"/>
  <c r="G1994" i="13"/>
  <c r="G1993" i="13"/>
  <c r="G1992" i="13"/>
  <c r="G1991" i="13"/>
  <c r="G1990" i="13"/>
  <c r="F1974" i="13"/>
  <c r="G1974" i="13" s="1"/>
  <c r="G1980" i="13" s="1"/>
  <c r="G1966" i="13"/>
  <c r="F1965" i="13"/>
  <c r="D1965" i="13"/>
  <c r="G1949" i="13"/>
  <c r="G1948" i="13"/>
  <c r="G1947" i="13"/>
  <c r="G1946" i="13"/>
  <c r="G1945" i="13"/>
  <c r="G1929" i="13"/>
  <c r="G1935" i="13" s="1"/>
  <c r="D1921" i="13"/>
  <c r="C1921" i="13"/>
  <c r="D1920" i="13"/>
  <c r="G1904" i="13"/>
  <c r="G1903" i="13"/>
  <c r="G1902" i="13"/>
  <c r="D1901" i="13"/>
  <c r="G1901" i="13" s="1"/>
  <c r="A1901" i="13"/>
  <c r="G1884" i="13"/>
  <c r="G1890" i="13" s="1"/>
  <c r="D1876" i="13"/>
  <c r="C1876" i="13"/>
  <c r="D1875" i="13"/>
  <c r="G1859" i="13"/>
  <c r="G1858" i="13"/>
  <c r="G1857" i="13"/>
  <c r="D1856" i="13"/>
  <c r="G1856" i="13" s="1"/>
  <c r="A1856" i="13"/>
  <c r="G1839" i="13"/>
  <c r="G1845" i="13" s="1"/>
  <c r="D1831" i="13"/>
  <c r="C1831" i="13"/>
  <c r="D1830" i="13"/>
  <c r="G1821" i="13"/>
  <c r="G1814" i="13"/>
  <c r="G1813" i="13"/>
  <c r="G1812" i="13"/>
  <c r="G1811" i="13"/>
  <c r="A1811" i="13"/>
  <c r="G1793" i="13"/>
  <c r="G1799" i="13" s="1"/>
  <c r="D1785" i="13"/>
  <c r="C1785" i="13"/>
  <c r="D1784" i="13"/>
  <c r="G1775" i="13"/>
  <c r="G1768" i="13"/>
  <c r="G1767" i="13"/>
  <c r="G1766" i="13"/>
  <c r="G1765" i="13"/>
  <c r="A1765" i="13"/>
  <c r="F1748" i="13"/>
  <c r="G1748" i="13" s="1"/>
  <c r="G1754" i="13" s="1"/>
  <c r="F1740" i="13"/>
  <c r="D1740" i="13"/>
  <c r="C1740" i="13"/>
  <c r="F1739" i="13"/>
  <c r="D1739" i="13"/>
  <c r="G1730" i="13"/>
  <c r="G1723" i="13"/>
  <c r="G1722" i="13"/>
  <c r="G1721" i="13"/>
  <c r="G1720" i="13"/>
  <c r="F1703" i="13"/>
  <c r="G1703" i="13" s="1"/>
  <c r="G1709" i="13" s="1"/>
  <c r="F1695" i="13"/>
  <c r="D1695" i="13"/>
  <c r="C1695" i="13"/>
  <c r="F1694" i="13"/>
  <c r="D1694" i="13"/>
  <c r="G1685" i="13"/>
  <c r="G1678" i="13"/>
  <c r="G1677" i="13"/>
  <c r="G1676" i="13"/>
  <c r="G1675" i="13"/>
  <c r="F1658" i="13"/>
  <c r="G1658" i="13" s="1"/>
  <c r="G1664" i="13" s="1"/>
  <c r="F1650" i="13"/>
  <c r="D1650" i="13"/>
  <c r="C1650" i="13"/>
  <c r="F1649" i="13"/>
  <c r="D1649" i="13"/>
  <c r="G1640" i="13"/>
  <c r="G1633" i="13"/>
  <c r="G1632" i="13"/>
  <c r="G1631" i="13"/>
  <c r="G1630" i="13"/>
  <c r="F1612" i="13"/>
  <c r="G1612" i="13" s="1"/>
  <c r="G1618" i="13" s="1"/>
  <c r="F1604" i="13"/>
  <c r="D1604" i="13"/>
  <c r="C1604" i="13"/>
  <c r="F1603" i="13"/>
  <c r="D1603" i="13"/>
  <c r="F1594" i="13"/>
  <c r="G1594" i="13" s="1"/>
  <c r="G1587" i="13"/>
  <c r="G1586" i="13"/>
  <c r="G1585" i="13"/>
  <c r="G1584" i="13"/>
  <c r="F1567" i="13"/>
  <c r="G1567" i="13" s="1"/>
  <c r="G1573" i="13" s="1"/>
  <c r="F1559" i="13"/>
  <c r="D1559" i="13"/>
  <c r="C1559" i="13"/>
  <c r="F1558" i="13"/>
  <c r="D1558" i="13"/>
  <c r="F1549" i="13"/>
  <c r="G1549" i="13" s="1"/>
  <c r="G1542" i="13"/>
  <c r="G1541" i="13"/>
  <c r="G1540" i="13"/>
  <c r="G1539" i="13"/>
  <c r="F1522" i="13"/>
  <c r="G1522" i="13" s="1"/>
  <c r="G1528" i="13" s="1"/>
  <c r="F1514" i="13"/>
  <c r="D1514" i="13"/>
  <c r="C1514" i="13"/>
  <c r="F1513" i="13"/>
  <c r="D1513" i="13"/>
  <c r="G1504" i="13"/>
  <c r="G1497" i="13"/>
  <c r="G1496" i="13"/>
  <c r="G1495" i="13"/>
  <c r="G1494" i="13"/>
  <c r="F1476" i="13"/>
  <c r="G1476" i="13" s="1"/>
  <c r="G1482" i="13" s="1"/>
  <c r="F1468" i="13"/>
  <c r="D1468" i="13"/>
  <c r="C1468" i="13"/>
  <c r="F1467" i="13"/>
  <c r="D1467" i="13"/>
  <c r="G1458" i="13"/>
  <c r="G1451" i="13"/>
  <c r="G1450" i="13"/>
  <c r="G1449" i="13"/>
  <c r="G1448" i="13"/>
  <c r="F1431" i="13"/>
  <c r="G1431" i="13" s="1"/>
  <c r="G1437" i="13" s="1"/>
  <c r="D1423" i="13"/>
  <c r="C1423" i="13"/>
  <c r="D1422" i="13"/>
  <c r="G1413" i="13"/>
  <c r="G1406" i="13"/>
  <c r="G1405" i="13"/>
  <c r="G1404" i="13"/>
  <c r="G1403" i="13"/>
  <c r="F1385" i="13"/>
  <c r="G1385" i="13" s="1"/>
  <c r="G1391" i="13" s="1"/>
  <c r="F1377" i="13"/>
  <c r="D1377" i="13"/>
  <c r="C1377" i="13"/>
  <c r="F1376" i="13"/>
  <c r="D1376" i="13"/>
  <c r="G1367" i="13"/>
  <c r="G1360" i="13"/>
  <c r="G1359" i="13"/>
  <c r="G1358" i="13"/>
  <c r="G1357" i="13"/>
  <c r="F1340" i="13"/>
  <c r="G1340" i="13" s="1"/>
  <c r="G1346" i="13" s="1"/>
  <c r="F1332" i="13"/>
  <c r="D1332" i="13"/>
  <c r="C1332" i="13"/>
  <c r="F1331" i="13"/>
  <c r="D1331" i="13"/>
  <c r="G1322" i="13"/>
  <c r="G1315" i="13"/>
  <c r="G1314" i="13"/>
  <c r="G1313" i="13"/>
  <c r="G1312" i="13"/>
  <c r="F1295" i="13"/>
  <c r="E1295" i="13"/>
  <c r="F1287" i="13"/>
  <c r="D1287" i="13"/>
  <c r="C1287" i="13"/>
  <c r="F1286" i="13"/>
  <c r="D1286" i="13"/>
  <c r="G1277" i="13"/>
  <c r="G1270" i="13"/>
  <c r="G1269" i="13"/>
  <c r="G1268" i="13"/>
  <c r="G1267" i="13"/>
  <c r="G1266" i="13"/>
  <c r="F1250" i="13"/>
  <c r="E1250" i="13"/>
  <c r="F1242" i="13"/>
  <c r="D1242" i="13"/>
  <c r="C1242" i="13"/>
  <c r="F1241" i="13"/>
  <c r="D1241" i="13"/>
  <c r="G1232" i="13"/>
  <c r="G1225" i="13"/>
  <c r="G1224" i="13"/>
  <c r="G1223" i="13"/>
  <c r="G1222" i="13"/>
  <c r="G1221" i="13"/>
  <c r="F1205" i="13"/>
  <c r="E1205" i="13"/>
  <c r="F1197" i="13"/>
  <c r="D1197" i="13"/>
  <c r="C1197" i="13"/>
  <c r="F1196" i="13"/>
  <c r="D1196" i="13"/>
  <c r="G1187" i="13"/>
  <c r="G1180" i="13"/>
  <c r="G1179" i="13"/>
  <c r="G1178" i="13"/>
  <c r="G1177" i="13"/>
  <c r="G1176" i="13"/>
  <c r="F1113" i="13"/>
  <c r="G1113" i="13" s="1"/>
  <c r="G1119" i="13" s="1"/>
  <c r="F1105" i="13"/>
  <c r="D1105" i="13"/>
  <c r="C1105" i="13"/>
  <c r="F1104" i="13"/>
  <c r="D1104" i="13"/>
  <c r="G1095" i="13"/>
  <c r="G1088" i="13"/>
  <c r="G1087" i="13"/>
  <c r="G1086" i="13"/>
  <c r="G1085" i="13"/>
  <c r="F1068" i="13"/>
  <c r="G1068" i="13" s="1"/>
  <c r="G1074" i="13" s="1"/>
  <c r="F1060" i="13"/>
  <c r="D1060" i="13"/>
  <c r="C1060" i="13"/>
  <c r="F1059" i="13"/>
  <c r="D1059" i="13"/>
  <c r="G1050" i="13"/>
  <c r="G1043" i="13"/>
  <c r="G1042" i="13"/>
  <c r="G1041" i="13"/>
  <c r="G1040" i="13"/>
  <c r="F1023" i="13"/>
  <c r="G1023" i="13" s="1"/>
  <c r="G1029" i="13" s="1"/>
  <c r="F1015" i="13"/>
  <c r="D1015" i="13"/>
  <c r="C1015" i="13"/>
  <c r="F1014" i="13"/>
  <c r="D1014" i="13"/>
  <c r="G1005" i="13"/>
  <c r="G998" i="13"/>
  <c r="G997" i="13"/>
  <c r="G996" i="13"/>
  <c r="G995" i="13"/>
  <c r="F977" i="13"/>
  <c r="G977" i="13" s="1"/>
  <c r="G983" i="13" s="1"/>
  <c r="F969" i="13"/>
  <c r="D969" i="13"/>
  <c r="C969" i="13"/>
  <c r="F968" i="13"/>
  <c r="D968" i="13"/>
  <c r="G959" i="13"/>
  <c r="G952" i="13"/>
  <c r="G951" i="13"/>
  <c r="G950" i="13"/>
  <c r="G949" i="13"/>
  <c r="F932" i="13"/>
  <c r="G932" i="13" s="1"/>
  <c r="G938" i="13" s="1"/>
  <c r="F924" i="13"/>
  <c r="D924" i="13"/>
  <c r="C924" i="13"/>
  <c r="F923" i="13"/>
  <c r="D923" i="13"/>
  <c r="G914" i="13"/>
  <c r="G907" i="13"/>
  <c r="G906" i="13"/>
  <c r="G905" i="13"/>
  <c r="G904" i="13"/>
  <c r="F886" i="13"/>
  <c r="G886" i="13" s="1"/>
  <c r="G892" i="13" s="1"/>
  <c r="F878" i="13"/>
  <c r="D878" i="13"/>
  <c r="C878" i="13"/>
  <c r="F877" i="13"/>
  <c r="D877" i="13"/>
  <c r="G868" i="13"/>
  <c r="G861" i="13"/>
  <c r="G860" i="13"/>
  <c r="G859" i="13"/>
  <c r="G858" i="13"/>
  <c r="G841" i="13"/>
  <c r="G846" i="13" s="1"/>
  <c r="D833" i="13"/>
  <c r="C833" i="13"/>
  <c r="D832" i="13"/>
  <c r="G823" i="13"/>
  <c r="G816" i="13"/>
  <c r="G815" i="13"/>
  <c r="G814" i="13"/>
  <c r="G813" i="13"/>
  <c r="G812" i="13"/>
  <c r="G797" i="13"/>
  <c r="G802" i="13" s="1"/>
  <c r="D789" i="13"/>
  <c r="C789" i="13"/>
  <c r="D788" i="13"/>
  <c r="G779" i="13"/>
  <c r="G772" i="13"/>
  <c r="G771" i="13"/>
  <c r="G770" i="13"/>
  <c r="G769" i="13"/>
  <c r="G768" i="13"/>
  <c r="G753" i="13"/>
  <c r="G757" i="13" s="1"/>
  <c r="F745" i="13"/>
  <c r="D745" i="13"/>
  <c r="C745" i="13"/>
  <c r="F744" i="13"/>
  <c r="D744" i="13"/>
  <c r="G735" i="13"/>
  <c r="G728" i="13"/>
  <c r="G727" i="13"/>
  <c r="G726" i="13"/>
  <c r="G725" i="13"/>
  <c r="G709" i="13"/>
  <c r="G715" i="13" s="1"/>
  <c r="F701" i="13"/>
  <c r="D701" i="13"/>
  <c r="C701" i="13"/>
  <c r="F700" i="13"/>
  <c r="D700" i="13"/>
  <c r="G691" i="13"/>
  <c r="G684" i="13"/>
  <c r="G683" i="13"/>
  <c r="G682" i="13"/>
  <c r="G681" i="13"/>
  <c r="G680" i="13"/>
  <c r="G664" i="13"/>
  <c r="G670" i="13" s="1"/>
  <c r="F656" i="13"/>
  <c r="D656" i="13"/>
  <c r="C656" i="13"/>
  <c r="F655" i="13"/>
  <c r="D655" i="13"/>
  <c r="G646" i="13"/>
  <c r="G639" i="13"/>
  <c r="G638" i="13"/>
  <c r="G637" i="13"/>
  <c r="G636" i="13"/>
  <c r="G635" i="13"/>
  <c r="G624" i="13"/>
  <c r="G625" i="13" s="1"/>
  <c r="D619" i="13"/>
  <c r="D618" i="13"/>
  <c r="C618" i="13"/>
  <c r="G611" i="13"/>
  <c r="G604" i="13"/>
  <c r="G603" i="13"/>
  <c r="G602" i="13"/>
  <c r="G601" i="13"/>
  <c r="G600" i="13"/>
  <c r="G589" i="13"/>
  <c r="G591" i="13" s="1"/>
  <c r="E583" i="13"/>
  <c r="G583" i="13" s="1"/>
  <c r="E582" i="13"/>
  <c r="G582" i="13" s="1"/>
  <c r="G575" i="13"/>
  <c r="G574" i="13"/>
  <c r="G566" i="13"/>
  <c r="G569" i="13" s="1"/>
  <c r="G555" i="13"/>
  <c r="G557" i="13" s="1"/>
  <c r="D549" i="13"/>
  <c r="C549" i="13"/>
  <c r="D548" i="13"/>
  <c r="G541" i="13"/>
  <c r="G540" i="13"/>
  <c r="G533" i="13"/>
  <c r="G535" i="13" s="1"/>
  <c r="G524" i="13"/>
  <c r="D516" i="13"/>
  <c r="D515" i="13"/>
  <c r="C515" i="13"/>
  <c r="G507" i="13"/>
  <c r="G501" i="13"/>
  <c r="G500" i="13"/>
  <c r="G499" i="13"/>
  <c r="G490" i="13"/>
  <c r="D480" i="13"/>
  <c r="D479" i="13"/>
  <c r="C479" i="13"/>
  <c r="G472" i="13"/>
  <c r="G466" i="13"/>
  <c r="G465" i="13"/>
  <c r="G464" i="13"/>
  <c r="G452" i="13"/>
  <c r="G455" i="13" s="1"/>
  <c r="F445" i="13"/>
  <c r="D445" i="13"/>
  <c r="D438" i="13"/>
  <c r="G438" i="13" s="1"/>
  <c r="G431" i="13"/>
  <c r="G430" i="13"/>
  <c r="E419" i="13"/>
  <c r="G419" i="13" s="1"/>
  <c r="G421" i="13" s="1"/>
  <c r="F412" i="13"/>
  <c r="C412" i="13"/>
  <c r="E412" i="13" s="1"/>
  <c r="F405" i="13"/>
  <c r="D405" i="13"/>
  <c r="D404" i="13"/>
  <c r="G404" i="13" s="1"/>
  <c r="G397" i="13"/>
  <c r="G396" i="13"/>
  <c r="G395" i="13"/>
  <c r="E347" i="13"/>
  <c r="G347" i="13" s="1"/>
  <c r="G350" i="13" s="1"/>
  <c r="F340" i="13"/>
  <c r="F333" i="13"/>
  <c r="D333" i="13"/>
  <c r="G332" i="13"/>
  <c r="G325" i="13"/>
  <c r="G324" i="13"/>
  <c r="G323" i="13"/>
  <c r="G311" i="13"/>
  <c r="G314" i="13" s="1"/>
  <c r="F297" i="13"/>
  <c r="G297" i="13" s="1"/>
  <c r="D296" i="13"/>
  <c r="G289" i="13"/>
  <c r="G288" i="13"/>
  <c r="G279" i="13"/>
  <c r="D270" i="13"/>
  <c r="D263" i="13"/>
  <c r="G263" i="13" s="1"/>
  <c r="D262" i="13"/>
  <c r="G262" i="13" s="1"/>
  <c r="G255" i="13"/>
  <c r="G254" i="13"/>
  <c r="G245" i="13"/>
  <c r="D236" i="13"/>
  <c r="G229" i="13"/>
  <c r="D228" i="13"/>
  <c r="G228" i="13" s="1"/>
  <c r="G221" i="13"/>
  <c r="G220" i="13"/>
  <c r="G177" i="13"/>
  <c r="D167" i="13"/>
  <c r="D160" i="13"/>
  <c r="G160" i="13" s="1"/>
  <c r="G153" i="13"/>
  <c r="G152" i="13"/>
  <c r="G143" i="13"/>
  <c r="D132" i="13"/>
  <c r="D131" i="13"/>
  <c r="E131" i="13" s="1"/>
  <c r="G131" i="13" s="1"/>
  <c r="G117" i="13"/>
  <c r="G116" i="13"/>
  <c r="G107" i="13"/>
  <c r="D97" i="13"/>
  <c r="G84" i="13"/>
  <c r="G83" i="13"/>
  <c r="G82" i="13"/>
  <c r="D63" i="13"/>
  <c r="G56" i="13"/>
  <c r="G55" i="13"/>
  <c r="G48" i="13"/>
  <c r="G47" i="13"/>
  <c r="G43" i="13"/>
  <c r="G38" i="13"/>
  <c r="D28" i="13"/>
  <c r="G21" i="13"/>
  <c r="G20" i="13"/>
  <c r="G13" i="13"/>
  <c r="G12" i="13"/>
  <c r="O3" i="13"/>
  <c r="M2" i="13"/>
  <c r="P164" i="28" l="1"/>
  <c r="P165" i="28" s="1"/>
  <c r="P168" i="28" s="1"/>
  <c r="P170" i="28" s="1"/>
  <c r="P173" i="28" s="1"/>
  <c r="P175" i="28" s="1"/>
  <c r="P178" i="28" s="1"/>
  <c r="P180" i="28" s="1"/>
  <c r="C3786" i="13"/>
  <c r="E3786" i="13" s="1"/>
  <c r="C3829" i="13"/>
  <c r="E3829" i="13" s="1"/>
  <c r="G3829" i="13" s="1"/>
  <c r="G3834" i="13" s="1"/>
  <c r="G3818" i="13" s="1"/>
  <c r="G3824" i="13" s="1"/>
  <c r="N27" i="29"/>
  <c r="G3103" i="13"/>
  <c r="G3109" i="13" s="1"/>
  <c r="G3284" i="13"/>
  <c r="G3290" i="13" s="1"/>
  <c r="E2779" i="13"/>
  <c r="G2779" i="13" s="1"/>
  <c r="C3745" i="13"/>
  <c r="E3745" i="13" s="1"/>
  <c r="G3745" i="13" s="1"/>
  <c r="G3749" i="13" s="1"/>
  <c r="G3735" i="13" s="1"/>
  <c r="G3740" i="13" s="1"/>
  <c r="G3762" i="13" s="1"/>
  <c r="C3465" i="13"/>
  <c r="E3465" i="13" s="1"/>
  <c r="G3465" i="13" s="1"/>
  <c r="P164" i="32"/>
  <c r="P165" i="32" s="1"/>
  <c r="P168" i="32" s="1"/>
  <c r="P170" i="32" s="1"/>
  <c r="P173" i="32" s="1"/>
  <c r="P175" i="32" s="1"/>
  <c r="P178" i="32" s="1"/>
  <c r="P180" i="32" s="1"/>
  <c r="E1423" i="13"/>
  <c r="G1423" i="13" s="1"/>
  <c r="E3466" i="13"/>
  <c r="G3466" i="13" s="1"/>
  <c r="E1242" i="13"/>
  <c r="G1242" i="13" s="1"/>
  <c r="N158" i="27"/>
  <c r="P158" i="27" s="1"/>
  <c r="P164" i="27" s="1"/>
  <c r="P165" i="27" s="1"/>
  <c r="P168" i="27" s="1"/>
  <c r="P170" i="27" s="1"/>
  <c r="P173" i="27" s="1"/>
  <c r="P175" i="27" s="1"/>
  <c r="P178" i="27" s="1"/>
  <c r="P180" i="27" s="1"/>
  <c r="E3230" i="13"/>
  <c r="G3230" i="13" s="1"/>
  <c r="G467" i="13"/>
  <c r="E2191" i="13"/>
  <c r="G2191" i="13" s="1"/>
  <c r="G3238" i="13"/>
  <c r="G3244" i="13" s="1"/>
  <c r="G1452" i="13"/>
  <c r="C3418" i="13"/>
  <c r="E3418" i="13" s="1"/>
  <c r="G3418" i="13" s="1"/>
  <c r="G3422" i="13" s="1"/>
  <c r="G3410" i="13" s="1"/>
  <c r="G3413" i="13" s="1"/>
  <c r="G3432" i="13" s="1"/>
  <c r="C3371" i="13"/>
  <c r="E3371" i="13" s="1"/>
  <c r="G3371" i="13" s="1"/>
  <c r="G3375" i="13" s="1"/>
  <c r="G3363" i="13" s="1"/>
  <c r="G3366" i="13" s="1"/>
  <c r="G3385" i="13" s="1"/>
  <c r="C1150" i="13"/>
  <c r="E1150" i="13" s="1"/>
  <c r="G1150" i="13" s="1"/>
  <c r="G1154" i="13" s="1"/>
  <c r="G1140" i="13" s="1"/>
  <c r="G1145" i="13" s="1"/>
  <c r="G1167" i="13" s="1"/>
  <c r="G50" i="13"/>
  <c r="E549" i="13"/>
  <c r="G549" i="13" s="1"/>
  <c r="E656" i="13"/>
  <c r="G656" i="13" s="1"/>
  <c r="E833" i="13"/>
  <c r="G833" i="13" s="1"/>
  <c r="E878" i="13"/>
  <c r="G878" i="13" s="1"/>
  <c r="G1295" i="13"/>
  <c r="G1301" i="13" s="1"/>
  <c r="E1332" i="13"/>
  <c r="G1332" i="13" s="1"/>
  <c r="E1921" i="13"/>
  <c r="G1921" i="13" s="1"/>
  <c r="G3659" i="13"/>
  <c r="G3665" i="13" s="1"/>
  <c r="G1905" i="13"/>
  <c r="E3925" i="13"/>
  <c r="G3925" i="13" s="1"/>
  <c r="G223" i="13"/>
  <c r="E479" i="13"/>
  <c r="G479" i="13" s="1"/>
  <c r="G953" i="13"/>
  <c r="E969" i="13"/>
  <c r="G969" i="13" s="1"/>
  <c r="E1287" i="13"/>
  <c r="G1287" i="13" s="1"/>
  <c r="G1860" i="13"/>
  <c r="E3558" i="13"/>
  <c r="G3558" i="13" s="1"/>
  <c r="G327" i="13"/>
  <c r="G1361" i="13"/>
  <c r="E924" i="13"/>
  <c r="G924" i="13" s="1"/>
  <c r="E1559" i="13"/>
  <c r="G1559" i="13" s="1"/>
  <c r="E1650" i="13"/>
  <c r="G1650" i="13" s="1"/>
  <c r="E2056" i="13"/>
  <c r="G2056" i="13" s="1"/>
  <c r="G2448" i="13"/>
  <c r="G2538" i="13"/>
  <c r="G2583" i="13"/>
  <c r="E3049" i="13"/>
  <c r="G3049" i="13" s="1"/>
  <c r="L164" i="28"/>
  <c r="L165" i="28" s="1"/>
  <c r="L168" i="28" s="1"/>
  <c r="L170" i="28" s="1"/>
  <c r="L173" i="28" s="1"/>
  <c r="L175" i="28" s="1"/>
  <c r="L178" i="28" s="1"/>
  <c r="L180" i="28" s="1"/>
  <c r="L164" i="29"/>
  <c r="L165" i="29" s="1"/>
  <c r="L168" i="29" s="1"/>
  <c r="L170" i="29" s="1"/>
  <c r="L173" i="29" s="1"/>
  <c r="L175" i="29" s="1"/>
  <c r="L178" i="29" s="1"/>
  <c r="L180" i="29" s="1"/>
  <c r="L164" i="31"/>
  <c r="L165" i="31" s="1"/>
  <c r="L168" i="31" s="1"/>
  <c r="L170" i="31" s="1"/>
  <c r="L173" i="31" s="1"/>
  <c r="L175" i="31" s="1"/>
  <c r="L178" i="31" s="1"/>
  <c r="L180" i="31" s="1"/>
  <c r="E515" i="13"/>
  <c r="G515" i="13" s="1"/>
  <c r="E1197" i="13"/>
  <c r="G1197" i="13" s="1"/>
  <c r="G2943" i="13"/>
  <c r="E2959" i="13"/>
  <c r="G2959" i="13" s="1"/>
  <c r="E3185" i="13"/>
  <c r="G3185" i="13" s="1"/>
  <c r="G3214" i="13"/>
  <c r="E3322" i="13"/>
  <c r="G3322" i="13" s="1"/>
  <c r="G3682" i="13"/>
  <c r="G120" i="13"/>
  <c r="G817" i="13"/>
  <c r="G1089" i="13"/>
  <c r="G2085" i="13"/>
  <c r="E2689" i="13"/>
  <c r="G2689" i="13" s="1"/>
  <c r="E3004" i="13"/>
  <c r="G3004" i="13" s="1"/>
  <c r="E3877" i="13"/>
  <c r="G3877" i="13" s="1"/>
  <c r="G412" i="13"/>
  <c r="G415" i="13" s="1"/>
  <c r="G403" i="13" s="1"/>
  <c r="G1226" i="13"/>
  <c r="G1250" i="13"/>
  <c r="G1256" i="13" s="1"/>
  <c r="C132" i="13"/>
  <c r="E132" i="13" s="1"/>
  <c r="G132" i="13" s="1"/>
  <c r="G135" i="13" s="1"/>
  <c r="G124" i="13" s="1"/>
  <c r="G127" i="13" s="1"/>
  <c r="C376" i="13"/>
  <c r="E376" i="13" s="1"/>
  <c r="G376" i="13" s="1"/>
  <c r="G379" i="13" s="1"/>
  <c r="G367" i="13" s="1"/>
  <c r="G372" i="13" s="1"/>
  <c r="G257" i="13"/>
  <c r="G433" i="13"/>
  <c r="E1060" i="13"/>
  <c r="G1060" i="13" s="1"/>
  <c r="G1205" i="13"/>
  <c r="G1211" i="13" s="1"/>
  <c r="E1604" i="13"/>
  <c r="G1604" i="13" s="1"/>
  <c r="E1695" i="13"/>
  <c r="G1695" i="13" s="1"/>
  <c r="G1724" i="13"/>
  <c r="G1995" i="13"/>
  <c r="E2146" i="13"/>
  <c r="G2146" i="13" s="1"/>
  <c r="E2236" i="13"/>
  <c r="G2236" i="13" s="1"/>
  <c r="G2267" i="13"/>
  <c r="E2644" i="13"/>
  <c r="G2644" i="13" s="1"/>
  <c r="E2734" i="13"/>
  <c r="G2734" i="13" s="1"/>
  <c r="G2898" i="13"/>
  <c r="G3542" i="13"/>
  <c r="G3589" i="13"/>
  <c r="L164" i="32"/>
  <c r="L165" i="32" s="1"/>
  <c r="L168" i="32" s="1"/>
  <c r="L170" i="32" s="1"/>
  <c r="L173" i="32" s="1"/>
  <c r="L175" i="32" s="1"/>
  <c r="L178" i="32" s="1"/>
  <c r="L180" i="32" s="1"/>
  <c r="L164" i="33"/>
  <c r="L165" i="33" s="1"/>
  <c r="L168" i="33" s="1"/>
  <c r="L170" i="33" s="1"/>
  <c r="L173" i="33" s="1"/>
  <c r="L175" i="33" s="1"/>
  <c r="L178" i="33" s="1"/>
  <c r="L180" i="33" s="1"/>
  <c r="L164" i="30"/>
  <c r="L165" i="30" s="1"/>
  <c r="L168" i="30" s="1"/>
  <c r="L170" i="30" s="1"/>
  <c r="L173" i="30" s="1"/>
  <c r="L175" i="30" s="1"/>
  <c r="L178" i="30" s="1"/>
  <c r="L180" i="30" s="1"/>
  <c r="N160" i="31"/>
  <c r="P160" i="31" s="1"/>
  <c r="P164" i="31" s="1"/>
  <c r="P165" i="31" s="1"/>
  <c r="P168" i="31" s="1"/>
  <c r="P170" i="31" s="1"/>
  <c r="P173" i="31" s="1"/>
  <c r="P175" i="31" s="1"/>
  <c r="P178" i="31" s="1"/>
  <c r="P180" i="31" s="1"/>
  <c r="L164" i="27"/>
  <c r="L165" i="27" s="1"/>
  <c r="L168" i="27" s="1"/>
  <c r="L170" i="27" s="1"/>
  <c r="L173" i="27" s="1"/>
  <c r="L175" i="27" s="1"/>
  <c r="L178" i="27" s="1"/>
  <c r="L180" i="27" s="1"/>
  <c r="E618" i="13"/>
  <c r="G618" i="13" s="1"/>
  <c r="E789" i="13"/>
  <c r="G789" i="13" s="1"/>
  <c r="G1271" i="13"/>
  <c r="G1316" i="13"/>
  <c r="G2040" i="13"/>
  <c r="G3169" i="13"/>
  <c r="G3306" i="13"/>
  <c r="G1679" i="13"/>
  <c r="E3140" i="13"/>
  <c r="G3140" i="13" s="1"/>
  <c r="C480" i="13"/>
  <c r="E480" i="13" s="1"/>
  <c r="G480" i="13" s="1"/>
  <c r="C202" i="13"/>
  <c r="E202" i="13" s="1"/>
  <c r="C28" i="13"/>
  <c r="E28" i="13" s="1"/>
  <c r="G28" i="13" s="1"/>
  <c r="G31" i="13" s="1"/>
  <c r="G19" i="13" s="1"/>
  <c r="G23" i="13" s="1"/>
  <c r="C304" i="13"/>
  <c r="E304" i="13" s="1"/>
  <c r="G304" i="13" s="1"/>
  <c r="G307" i="13" s="1"/>
  <c r="G295" i="13" s="1"/>
  <c r="O2" i="13"/>
  <c r="C97" i="13"/>
  <c r="E97" i="13" s="1"/>
  <c r="G97" i="13" s="1"/>
  <c r="G100" i="13" s="1"/>
  <c r="G90" i="13" s="1"/>
  <c r="G93" i="13" s="1"/>
  <c r="G291" i="13"/>
  <c r="G405" i="13"/>
  <c r="G1044" i="13"/>
  <c r="G1498" i="13"/>
  <c r="G2220" i="13"/>
  <c r="G2311" i="13"/>
  <c r="G2853" i="13"/>
  <c r="E2914" i="13"/>
  <c r="G2914" i="13" s="1"/>
  <c r="G86" i="13"/>
  <c r="G296" i="13"/>
  <c r="G502" i="13"/>
  <c r="G606" i="13"/>
  <c r="G729" i="13"/>
  <c r="E745" i="13"/>
  <c r="G745" i="13" s="1"/>
  <c r="G773" i="13"/>
  <c r="G908" i="13"/>
  <c r="E1015" i="13"/>
  <c r="G1015" i="13" s="1"/>
  <c r="G1588" i="13"/>
  <c r="G1634" i="13"/>
  <c r="E1785" i="13"/>
  <c r="G1785" i="13" s="1"/>
  <c r="E1831" i="13"/>
  <c r="G1831" i="13" s="1"/>
  <c r="E1876" i="13"/>
  <c r="G1876" i="13" s="1"/>
  <c r="G2175" i="13"/>
  <c r="G2357" i="13"/>
  <c r="G2493" i="13"/>
  <c r="G2763" i="13"/>
  <c r="G2808" i="13"/>
  <c r="E2824" i="13"/>
  <c r="G2824" i="13" s="1"/>
  <c r="G3033" i="13"/>
  <c r="E3095" i="13"/>
  <c r="G3095" i="13" s="1"/>
  <c r="G3124" i="13"/>
  <c r="G3193" i="13"/>
  <c r="G3199" i="13" s="1"/>
  <c r="E3276" i="13"/>
  <c r="G3276" i="13" s="1"/>
  <c r="G3861" i="13"/>
  <c r="G3635" i="13"/>
  <c r="G3919" i="13"/>
  <c r="G15" i="13"/>
  <c r="G155" i="13"/>
  <c r="G333" i="13"/>
  <c r="G399" i="13"/>
  <c r="G585" i="13"/>
  <c r="G573" i="13" s="1"/>
  <c r="G578" i="13" s="1"/>
  <c r="G593" i="13" s="1"/>
  <c r="G640" i="13"/>
  <c r="G685" i="13"/>
  <c r="E701" i="13"/>
  <c r="G701" i="13" s="1"/>
  <c r="G862" i="13"/>
  <c r="G999" i="13"/>
  <c r="E1105" i="13"/>
  <c r="G1105" i="13" s="1"/>
  <c r="G1181" i="13"/>
  <c r="G1407" i="13"/>
  <c r="E1514" i="13"/>
  <c r="G1514" i="13" s="1"/>
  <c r="G1543" i="13"/>
  <c r="E1740" i="13"/>
  <c r="G1740" i="13" s="1"/>
  <c r="G1769" i="13"/>
  <c r="G1815" i="13"/>
  <c r="G1950" i="13"/>
  <c r="E2101" i="13"/>
  <c r="G2101" i="13" s="1"/>
  <c r="G2130" i="13"/>
  <c r="G2402" i="13"/>
  <c r="G2718" i="13"/>
  <c r="G2988" i="13"/>
  <c r="G3079" i="13"/>
  <c r="G3148" i="13"/>
  <c r="G3154" i="13" s="1"/>
  <c r="G3260" i="13"/>
  <c r="G3496" i="13"/>
  <c r="G3566" i="13"/>
  <c r="G3572" i="13" s="1"/>
  <c r="E3651" i="13"/>
  <c r="G3651" i="13" s="1"/>
  <c r="E3698" i="13"/>
  <c r="G3698" i="13" s="1"/>
  <c r="G3813" i="13"/>
  <c r="G3909" i="13"/>
  <c r="A2849" i="13"/>
  <c r="P117" i="30"/>
  <c r="P175" i="29"/>
  <c r="P178" i="29" s="1"/>
  <c r="P180" i="29" s="1"/>
  <c r="N30" i="28"/>
  <c r="C63" i="13"/>
  <c r="E63" i="13" s="1"/>
  <c r="G63" i="13" s="1"/>
  <c r="G66" i="13" s="1"/>
  <c r="G54" i="13" s="1"/>
  <c r="G58" i="13" s="1"/>
  <c r="C236" i="13"/>
  <c r="E236" i="13" s="1"/>
  <c r="G236" i="13" s="1"/>
  <c r="G239" i="13" s="1"/>
  <c r="G227" i="13" s="1"/>
  <c r="G231" i="13" s="1"/>
  <c r="C3876" i="13"/>
  <c r="E3876" i="13" s="1"/>
  <c r="G3876" i="13" s="1"/>
  <c r="C2958" i="13"/>
  <c r="E2958" i="13" s="1"/>
  <c r="G2958" i="13" s="1"/>
  <c r="C2913" i="13"/>
  <c r="E2913" i="13" s="1"/>
  <c r="G2913" i="13" s="1"/>
  <c r="C2688" i="13"/>
  <c r="E2688" i="13" s="1"/>
  <c r="G2688" i="13" s="1"/>
  <c r="C2643" i="13"/>
  <c r="E2643" i="13" s="1"/>
  <c r="G2643" i="13" s="1"/>
  <c r="C3557" i="13"/>
  <c r="E3557" i="13" s="1"/>
  <c r="G3557" i="13" s="1"/>
  <c r="C3003" i="13"/>
  <c r="E3003" i="13" s="1"/>
  <c r="G3003" i="13" s="1"/>
  <c r="C2733" i="13"/>
  <c r="E2733" i="13" s="1"/>
  <c r="G2733" i="13" s="1"/>
  <c r="C3697" i="13"/>
  <c r="E3697" i="13" s="1"/>
  <c r="G3697" i="13" s="1"/>
  <c r="C3650" i="13"/>
  <c r="E3650" i="13" s="1"/>
  <c r="G3650" i="13" s="1"/>
  <c r="C3604" i="13"/>
  <c r="E3604" i="13" s="1"/>
  <c r="G3604" i="13" s="1"/>
  <c r="G3609" i="13" s="1"/>
  <c r="G3594" i="13" s="1"/>
  <c r="G3599" i="13" s="1"/>
  <c r="C3048" i="13"/>
  <c r="E3048" i="13" s="1"/>
  <c r="G3048" i="13" s="1"/>
  <c r="C2869" i="13"/>
  <c r="E2869" i="13" s="1"/>
  <c r="G2869" i="13" s="1"/>
  <c r="C2778" i="13"/>
  <c r="E2778" i="13" s="1"/>
  <c r="G2778" i="13" s="1"/>
  <c r="C2508" i="13"/>
  <c r="E2508" i="13" s="1"/>
  <c r="G2508" i="13" s="1"/>
  <c r="G2512" i="13" s="1"/>
  <c r="G2498" i="13" s="1"/>
  <c r="G2503" i="13" s="1"/>
  <c r="C3924" i="13"/>
  <c r="E3924" i="13" s="1"/>
  <c r="G3924" i="13" s="1"/>
  <c r="C3511" i="13"/>
  <c r="E3511" i="13" s="1"/>
  <c r="G3511" i="13" s="1"/>
  <c r="G3515" i="13" s="1"/>
  <c r="G3501" i="13" s="1"/>
  <c r="G3506" i="13" s="1"/>
  <c r="C3321" i="13"/>
  <c r="E3321" i="13" s="1"/>
  <c r="G3321" i="13" s="1"/>
  <c r="C3275" i="13"/>
  <c r="E3275" i="13" s="1"/>
  <c r="G3275" i="13" s="1"/>
  <c r="C3229" i="13"/>
  <c r="E3229" i="13" s="1"/>
  <c r="G3229" i="13" s="1"/>
  <c r="C3184" i="13"/>
  <c r="E3184" i="13" s="1"/>
  <c r="G3184" i="13" s="1"/>
  <c r="C3139" i="13"/>
  <c r="E3139" i="13" s="1"/>
  <c r="G3139" i="13" s="1"/>
  <c r="C3094" i="13"/>
  <c r="E3094" i="13" s="1"/>
  <c r="G3094" i="13" s="1"/>
  <c r="C2868" i="13"/>
  <c r="E2868" i="13" s="1"/>
  <c r="G2868" i="13" s="1"/>
  <c r="C2823" i="13"/>
  <c r="E2823" i="13" s="1"/>
  <c r="G2823" i="13" s="1"/>
  <c r="C2553" i="13"/>
  <c r="E2553" i="13" s="1"/>
  <c r="G2553" i="13" s="1"/>
  <c r="G2557" i="13" s="1"/>
  <c r="G2543" i="13" s="1"/>
  <c r="G2548" i="13" s="1"/>
  <c r="C2372" i="13"/>
  <c r="E2372" i="13" s="1"/>
  <c r="G2372" i="13" s="1"/>
  <c r="G2376" i="13" s="1"/>
  <c r="G2362" i="13" s="1"/>
  <c r="G2367" i="13" s="1"/>
  <c r="C2282" i="13"/>
  <c r="E2282" i="13" s="1"/>
  <c r="G2282" i="13" s="1"/>
  <c r="G2286" i="13" s="1"/>
  <c r="G2272" i="13" s="1"/>
  <c r="G2277" i="13" s="1"/>
  <c r="C2190" i="13"/>
  <c r="E2190" i="13" s="1"/>
  <c r="G2190" i="13" s="1"/>
  <c r="C2100" i="13"/>
  <c r="E2100" i="13" s="1"/>
  <c r="G2100" i="13" s="1"/>
  <c r="C2010" i="13"/>
  <c r="E2010" i="13" s="1"/>
  <c r="G2010" i="13" s="1"/>
  <c r="G2014" i="13" s="1"/>
  <c r="G2000" i="13" s="1"/>
  <c r="G2005" i="13" s="1"/>
  <c r="C1739" i="13"/>
  <c r="E1739" i="13" s="1"/>
  <c r="G1739" i="13" s="1"/>
  <c r="C1649" i="13"/>
  <c r="E1649" i="13" s="1"/>
  <c r="G1649" i="13" s="1"/>
  <c r="C2598" i="13"/>
  <c r="E2598" i="13" s="1"/>
  <c r="G2598" i="13" s="1"/>
  <c r="G2602" i="13" s="1"/>
  <c r="G2588" i="13" s="1"/>
  <c r="G2593" i="13" s="1"/>
  <c r="C2417" i="13"/>
  <c r="E2417" i="13" s="1"/>
  <c r="G2417" i="13" s="1"/>
  <c r="G2421" i="13" s="1"/>
  <c r="G2407" i="13" s="1"/>
  <c r="G2412" i="13" s="1"/>
  <c r="C1920" i="13"/>
  <c r="E1920" i="13" s="1"/>
  <c r="G1920" i="13" s="1"/>
  <c r="C1875" i="13"/>
  <c r="E1875" i="13" s="1"/>
  <c r="G1875" i="13" s="1"/>
  <c r="C1830" i="13"/>
  <c r="E1830" i="13" s="1"/>
  <c r="G1830" i="13" s="1"/>
  <c r="C1784" i="13"/>
  <c r="E1784" i="13" s="1"/>
  <c r="G1784" i="13" s="1"/>
  <c r="C1558" i="13"/>
  <c r="E1558" i="13" s="1"/>
  <c r="G1558" i="13" s="1"/>
  <c r="C1286" i="13"/>
  <c r="E1286" i="13" s="1"/>
  <c r="G1286" i="13" s="1"/>
  <c r="C1241" i="13"/>
  <c r="E1241" i="13" s="1"/>
  <c r="G1241" i="13" s="1"/>
  <c r="C1196" i="13"/>
  <c r="E1196" i="13" s="1"/>
  <c r="G1196" i="13" s="1"/>
  <c r="C2326" i="13"/>
  <c r="E2326" i="13" s="1"/>
  <c r="G2326" i="13" s="1"/>
  <c r="G2330" i="13" s="1"/>
  <c r="G2316" i="13" s="1"/>
  <c r="G2321" i="13" s="1"/>
  <c r="C2235" i="13"/>
  <c r="E2235" i="13" s="1"/>
  <c r="G2235" i="13" s="1"/>
  <c r="C2145" i="13"/>
  <c r="E2145" i="13" s="1"/>
  <c r="G2145" i="13" s="1"/>
  <c r="C2055" i="13"/>
  <c r="E2055" i="13" s="1"/>
  <c r="G2055" i="13" s="1"/>
  <c r="C1965" i="13"/>
  <c r="E1965" i="13" s="1"/>
  <c r="G1965" i="13" s="1"/>
  <c r="G1969" i="13" s="1"/>
  <c r="G1955" i="13" s="1"/>
  <c r="G1960" i="13" s="1"/>
  <c r="C1694" i="13"/>
  <c r="E1694" i="13" s="1"/>
  <c r="G1694" i="13" s="1"/>
  <c r="C1603" i="13"/>
  <c r="E1603" i="13" s="1"/>
  <c r="G1603" i="13" s="1"/>
  <c r="C2463" i="13"/>
  <c r="E2463" i="13" s="1"/>
  <c r="G2463" i="13" s="1"/>
  <c r="G2467" i="13" s="1"/>
  <c r="G2453" i="13" s="1"/>
  <c r="G2458" i="13" s="1"/>
  <c r="C1467" i="13"/>
  <c r="E1467" i="13" s="1"/>
  <c r="G1467" i="13" s="1"/>
  <c r="C1376" i="13"/>
  <c r="E1376" i="13" s="1"/>
  <c r="G1376" i="13" s="1"/>
  <c r="C832" i="13"/>
  <c r="E832" i="13" s="1"/>
  <c r="G832" i="13" s="1"/>
  <c r="C788" i="13"/>
  <c r="E788" i="13" s="1"/>
  <c r="G788" i="13" s="1"/>
  <c r="C1331" i="13"/>
  <c r="E1331" i="13" s="1"/>
  <c r="G1331" i="13" s="1"/>
  <c r="C1059" i="13"/>
  <c r="E1059" i="13" s="1"/>
  <c r="G1059" i="13" s="1"/>
  <c r="C968" i="13"/>
  <c r="E968" i="13" s="1"/>
  <c r="G968" i="13" s="1"/>
  <c r="C877" i="13"/>
  <c r="E877" i="13" s="1"/>
  <c r="G877" i="13" s="1"/>
  <c r="C655" i="13"/>
  <c r="E655" i="13" s="1"/>
  <c r="G655" i="13" s="1"/>
  <c r="C619" i="13"/>
  <c r="E619" i="13" s="1"/>
  <c r="G619" i="13" s="1"/>
  <c r="C744" i="13"/>
  <c r="E744" i="13" s="1"/>
  <c r="G744" i="13" s="1"/>
  <c r="C1513" i="13"/>
  <c r="E1513" i="13" s="1"/>
  <c r="G1513" i="13" s="1"/>
  <c r="C1422" i="13"/>
  <c r="E1422" i="13" s="1"/>
  <c r="G1422" i="13" s="1"/>
  <c r="C1104" i="13"/>
  <c r="E1104" i="13" s="1"/>
  <c r="G1104" i="13" s="1"/>
  <c r="C1014" i="13"/>
  <c r="E1014" i="13" s="1"/>
  <c r="G1014" i="13" s="1"/>
  <c r="C923" i="13"/>
  <c r="E923" i="13" s="1"/>
  <c r="G923" i="13" s="1"/>
  <c r="C700" i="13"/>
  <c r="E700" i="13" s="1"/>
  <c r="G700" i="13" s="1"/>
  <c r="C548" i="13"/>
  <c r="E548" i="13" s="1"/>
  <c r="G548" i="13" s="1"/>
  <c r="C516" i="13"/>
  <c r="E516" i="13" s="1"/>
  <c r="G516" i="13" s="1"/>
  <c r="C167" i="13"/>
  <c r="E167" i="13" s="1"/>
  <c r="G167" i="13" s="1"/>
  <c r="G170" i="13" s="1"/>
  <c r="G159" i="13" s="1"/>
  <c r="G163" i="13" s="1"/>
  <c r="C270" i="13"/>
  <c r="E270" i="13" s="1"/>
  <c r="G270" i="13" s="1"/>
  <c r="G273" i="13" s="1"/>
  <c r="G261" i="13" s="1"/>
  <c r="G266" i="13" s="1"/>
  <c r="C340" i="13"/>
  <c r="E340" i="13" s="1"/>
  <c r="G340" i="13" s="1"/>
  <c r="G343" i="13" s="1"/>
  <c r="G331" i="13" s="1"/>
  <c r="C445" i="13"/>
  <c r="E445" i="13" s="1"/>
  <c r="G445" i="13" s="1"/>
  <c r="G448" i="13" s="1"/>
  <c r="G437" i="13" s="1"/>
  <c r="G441" i="13" s="1"/>
  <c r="E1377" i="13"/>
  <c r="G1377" i="13" s="1"/>
  <c r="E1468" i="13"/>
  <c r="G1468" i="13" s="1"/>
  <c r="G2673" i="13"/>
  <c r="G2628" i="13"/>
  <c r="A2949" i="13"/>
  <c r="G281" i="13" l="1"/>
  <c r="G40" i="13"/>
  <c r="I40" i="13" s="1"/>
  <c r="G75" i="13"/>
  <c r="I75" i="13" s="1"/>
  <c r="O107" i="32"/>
  <c r="P107" i="32" s="1"/>
  <c r="O107" i="33"/>
  <c r="P107" i="33" s="1"/>
  <c r="O107" i="31"/>
  <c r="P107" i="31" s="1"/>
  <c r="O107" i="29"/>
  <c r="P107" i="29" s="1"/>
  <c r="O107" i="30"/>
  <c r="P107" i="30" s="1"/>
  <c r="O107" i="27"/>
  <c r="P107" i="27" s="1"/>
  <c r="I107" i="26"/>
  <c r="J107" i="26" s="1"/>
  <c r="O107" i="28"/>
  <c r="P107" i="28" s="1"/>
  <c r="G3786" i="13"/>
  <c r="G3789" i="13" s="1"/>
  <c r="G3777" i="13" s="1"/>
  <c r="G3781" i="13" s="1"/>
  <c r="G3797" i="13" s="1"/>
  <c r="G145" i="13"/>
  <c r="G2525" i="13"/>
  <c r="G109" i="13"/>
  <c r="G2480" i="13"/>
  <c r="G1982" i="13"/>
  <c r="G2299" i="13"/>
  <c r="G2434" i="13"/>
  <c r="G179" i="13"/>
  <c r="G2389" i="13"/>
  <c r="G457" i="13"/>
  <c r="G247" i="13"/>
  <c r="G2615" i="13"/>
  <c r="G3847" i="13"/>
  <c r="G3528" i="13"/>
  <c r="G2343" i="13"/>
  <c r="G3620" i="13"/>
  <c r="G2027" i="13"/>
  <c r="G388" i="13"/>
  <c r="G2570" i="13"/>
  <c r="G3701" i="13"/>
  <c r="G1426" i="13"/>
  <c r="G1412" i="13" s="1"/>
  <c r="G1417" i="13" s="1"/>
  <c r="G1439" i="13" s="1"/>
  <c r="G3188" i="13"/>
  <c r="G3174" i="13" s="1"/>
  <c r="G3179" i="13" s="1"/>
  <c r="G3201" i="13" s="1"/>
  <c r="G927" i="13"/>
  <c r="G913" i="13" s="1"/>
  <c r="G918" i="13" s="1"/>
  <c r="G940" i="13" s="1"/>
  <c r="G881" i="13"/>
  <c r="G867" i="13" s="1"/>
  <c r="G872" i="13" s="1"/>
  <c r="G836" i="13"/>
  <c r="G822" i="13" s="1"/>
  <c r="G827" i="13" s="1"/>
  <c r="G848" i="13" s="1"/>
  <c r="G704" i="13"/>
  <c r="G690" i="13" s="1"/>
  <c r="G695" i="13" s="1"/>
  <c r="G717" i="13" s="1"/>
  <c r="G1924" i="13"/>
  <c r="G1910" i="13" s="1"/>
  <c r="G1915" i="13" s="1"/>
  <c r="G1937" i="13" s="1"/>
  <c r="G1290" i="13"/>
  <c r="G1276" i="13" s="1"/>
  <c r="G1281" i="13" s="1"/>
  <c r="P98" i="28"/>
  <c r="P98" i="32"/>
  <c r="P98" i="31"/>
  <c r="J98" i="26"/>
  <c r="G3052" i="13"/>
  <c r="G3038" i="13" s="1"/>
  <c r="G3043" i="13" s="1"/>
  <c r="G3065" i="13" s="1"/>
  <c r="G483" i="13"/>
  <c r="G471" i="13" s="1"/>
  <c r="G475" i="13" s="1"/>
  <c r="G3469" i="13"/>
  <c r="G3455" i="13" s="1"/>
  <c r="G3460" i="13" s="1"/>
  <c r="G3482" i="13" s="1"/>
  <c r="P99" i="31"/>
  <c r="J99" i="26"/>
  <c r="P99" i="28"/>
  <c r="P99" i="32"/>
  <c r="G3098" i="13"/>
  <c r="G3084" i="13" s="1"/>
  <c r="G3089" i="13" s="1"/>
  <c r="G3111" i="13" s="1"/>
  <c r="G2782" i="13"/>
  <c r="G2768" i="13" s="1"/>
  <c r="G2773" i="13" s="1"/>
  <c r="G2795" i="13" s="1"/>
  <c r="G551" i="13"/>
  <c r="G539" i="13" s="1"/>
  <c r="G544" i="13" s="1"/>
  <c r="G1108" i="13"/>
  <c r="G1094" i="13" s="1"/>
  <c r="G1099" i="13" s="1"/>
  <c r="G1063" i="13"/>
  <c r="G1049" i="13" s="1"/>
  <c r="G1054" i="13" s="1"/>
  <c r="G1076" i="13" s="1"/>
  <c r="G2827" i="13"/>
  <c r="G2813" i="13" s="1"/>
  <c r="G2818" i="13" s="1"/>
  <c r="G2840" i="13" s="1"/>
  <c r="G659" i="13"/>
  <c r="G645" i="13" s="1"/>
  <c r="G650" i="13" s="1"/>
  <c r="G1562" i="13"/>
  <c r="G1548" i="13" s="1"/>
  <c r="G1553" i="13" s="1"/>
  <c r="G3929" i="13"/>
  <c r="G3942" i="13" s="1"/>
  <c r="G1335" i="13"/>
  <c r="G1321" i="13" s="1"/>
  <c r="G1326" i="13" s="1"/>
  <c r="G1348" i="13" s="1"/>
  <c r="G2872" i="13"/>
  <c r="G2858" i="13" s="1"/>
  <c r="G2863" i="13" s="1"/>
  <c r="G2885" i="13" s="1"/>
  <c r="G2059" i="13"/>
  <c r="G2045" i="13" s="1"/>
  <c r="G2050" i="13" s="1"/>
  <c r="G2072" i="13" s="1"/>
  <c r="G2692" i="13"/>
  <c r="G2678" i="13" s="1"/>
  <c r="G2683" i="13" s="1"/>
  <c r="G2705" i="13" s="1"/>
  <c r="G3233" i="13"/>
  <c r="G3219" i="13" s="1"/>
  <c r="G3224" i="13" s="1"/>
  <c r="G3246" i="13" s="1"/>
  <c r="G2647" i="13"/>
  <c r="G2633" i="13" s="1"/>
  <c r="G2638" i="13" s="1"/>
  <c r="G2660" i="13" s="1"/>
  <c r="G1200" i="13"/>
  <c r="G1186" i="13" s="1"/>
  <c r="G1191" i="13" s="1"/>
  <c r="G518" i="13"/>
  <c r="G506" i="13" s="1"/>
  <c r="G511" i="13" s="1"/>
  <c r="G972" i="13"/>
  <c r="G958" i="13" s="1"/>
  <c r="G963" i="13" s="1"/>
  <c r="G985" i="13" s="1"/>
  <c r="G2149" i="13"/>
  <c r="G2135" i="13" s="1"/>
  <c r="G2140" i="13" s="1"/>
  <c r="G2162" i="13" s="1"/>
  <c r="G1245" i="13"/>
  <c r="G1231" i="13" s="1"/>
  <c r="G1236" i="13" s="1"/>
  <c r="G1258" i="13" s="1"/>
  <c r="G3007" i="13"/>
  <c r="G2993" i="13" s="1"/>
  <c r="G2998" i="13" s="1"/>
  <c r="G3020" i="13" s="1"/>
  <c r="K166" i="31"/>
  <c r="K166" i="28"/>
  <c r="K166" i="29"/>
  <c r="K166" i="32"/>
  <c r="K166" i="30"/>
  <c r="K166" i="33"/>
  <c r="G3279" i="13"/>
  <c r="G3265" i="13" s="1"/>
  <c r="G3270" i="13" s="1"/>
  <c r="G3292" i="13" s="1"/>
  <c r="G300" i="13"/>
  <c r="G2962" i="13"/>
  <c r="G2948" i="13" s="1"/>
  <c r="G2953" i="13" s="1"/>
  <c r="G2975" i="13" s="1"/>
  <c r="G1018" i="13"/>
  <c r="G1004" i="13" s="1"/>
  <c r="G1009" i="13" s="1"/>
  <c r="G1834" i="13"/>
  <c r="G1820" i="13" s="1"/>
  <c r="G1825" i="13" s="1"/>
  <c r="G1847" i="13" s="1"/>
  <c r="G3143" i="13"/>
  <c r="G3129" i="13" s="1"/>
  <c r="G3134" i="13" s="1"/>
  <c r="G3156" i="13" s="1"/>
  <c r="G3325" i="13"/>
  <c r="G3311" i="13" s="1"/>
  <c r="G3316" i="13" s="1"/>
  <c r="G3338" i="13" s="1"/>
  <c r="G3654" i="13"/>
  <c r="G3640" i="13" s="1"/>
  <c r="G3645" i="13" s="1"/>
  <c r="G2917" i="13"/>
  <c r="G2903" i="13" s="1"/>
  <c r="G2908" i="13" s="1"/>
  <c r="G2930" i="13" s="1"/>
  <c r="G3881" i="13"/>
  <c r="G3894" i="13" s="1"/>
  <c r="G336" i="13"/>
  <c r="G352" i="13" s="1"/>
  <c r="G408" i="13"/>
  <c r="G748" i="13"/>
  <c r="G734" i="13" s="1"/>
  <c r="G739" i="13" s="1"/>
  <c r="G759" i="13" s="1"/>
  <c r="G620" i="13"/>
  <c r="G610" i="13" s="1"/>
  <c r="G614" i="13" s="1"/>
  <c r="G2239" i="13"/>
  <c r="G2225" i="13" s="1"/>
  <c r="G2230" i="13" s="1"/>
  <c r="G2252" i="13" s="1"/>
  <c r="K166" i="27"/>
  <c r="G1743" i="13"/>
  <c r="G1729" i="13" s="1"/>
  <c r="G1734" i="13" s="1"/>
  <c r="G1756" i="13" s="1"/>
  <c r="G202" i="13"/>
  <c r="G205" i="13" s="1"/>
  <c r="G193" i="13" s="1"/>
  <c r="G198" i="13" s="1"/>
  <c r="G213" i="13" s="1"/>
  <c r="G3561" i="13"/>
  <c r="G3547" i="13" s="1"/>
  <c r="G3552" i="13" s="1"/>
  <c r="G792" i="13"/>
  <c r="G778" i="13" s="1"/>
  <c r="G783" i="13" s="1"/>
  <c r="G804" i="13" s="1"/>
  <c r="G1788" i="13"/>
  <c r="G1774" i="13" s="1"/>
  <c r="G1779" i="13" s="1"/>
  <c r="G1607" i="13"/>
  <c r="G1593" i="13" s="1"/>
  <c r="G1598" i="13" s="1"/>
  <c r="G1620" i="13" s="1"/>
  <c r="G2104" i="13"/>
  <c r="G2090" i="13" s="1"/>
  <c r="G2095" i="13" s="1"/>
  <c r="G2117" i="13" s="1"/>
  <c r="G1879" i="13"/>
  <c r="G1865" i="13" s="1"/>
  <c r="G1870" i="13" s="1"/>
  <c r="P164" i="30"/>
  <c r="P165" i="30" s="1"/>
  <c r="G1471" i="13"/>
  <c r="G1457" i="13" s="1"/>
  <c r="G1462" i="13" s="1"/>
  <c r="G1484" i="13" s="1"/>
  <c r="G1517" i="13"/>
  <c r="G1503" i="13" s="1"/>
  <c r="G1508" i="13" s="1"/>
  <c r="G2737" i="13"/>
  <c r="G2723" i="13" s="1"/>
  <c r="G2728" i="13" s="1"/>
  <c r="G2750" i="13" s="1"/>
  <c r="G1380" i="13"/>
  <c r="G1366" i="13" s="1"/>
  <c r="G1371" i="13" s="1"/>
  <c r="G1393" i="13" s="1"/>
  <c r="G1698" i="13"/>
  <c r="G1684" i="13" s="1"/>
  <c r="G1689" i="13" s="1"/>
  <c r="G1653" i="13"/>
  <c r="G1639" i="13" s="1"/>
  <c r="G1644" i="13" s="1"/>
  <c r="G2194" i="13"/>
  <c r="G2180" i="13" s="1"/>
  <c r="G2185" i="13" s="1"/>
  <c r="G2207" i="13" s="1"/>
  <c r="O66" i="33" l="1"/>
  <c r="O66" i="30"/>
  <c r="O66" i="31"/>
  <c r="O66" i="29"/>
  <c r="O66" i="32"/>
  <c r="O66" i="27"/>
  <c r="I66" i="26"/>
  <c r="J66" i="26" s="1"/>
  <c r="O66" i="28"/>
  <c r="O69" i="29"/>
  <c r="P69" i="29" s="1"/>
  <c r="I69" i="26"/>
  <c r="J69" i="26" s="1"/>
  <c r="O69" i="27"/>
  <c r="P69" i="27" s="1"/>
  <c r="O69" i="32"/>
  <c r="P69" i="32" s="1"/>
  <c r="O69" i="31"/>
  <c r="P69" i="31" s="1"/>
  <c r="O69" i="30"/>
  <c r="P69" i="30" s="1"/>
  <c r="O69" i="33"/>
  <c r="P69" i="33" s="1"/>
  <c r="O69" i="28"/>
  <c r="P69" i="28" s="1"/>
  <c r="O68" i="33"/>
  <c r="P68" i="33" s="1"/>
  <c r="O68" i="30"/>
  <c r="P68" i="30" s="1"/>
  <c r="O68" i="32"/>
  <c r="P68" i="32" s="1"/>
  <c r="O68" i="29"/>
  <c r="P68" i="29" s="1"/>
  <c r="O68" i="28"/>
  <c r="P68" i="28" s="1"/>
  <c r="I68" i="26"/>
  <c r="J68" i="26" s="1"/>
  <c r="O68" i="31"/>
  <c r="P68" i="31" s="1"/>
  <c r="O68" i="27"/>
  <c r="P68" i="27" s="1"/>
  <c r="I65" i="26"/>
  <c r="J65" i="26" s="1"/>
  <c r="O65" i="29"/>
  <c r="O65" i="27"/>
  <c r="O65" i="28"/>
  <c r="O65" i="32"/>
  <c r="O65" i="31"/>
  <c r="O65" i="33"/>
  <c r="O65" i="30"/>
  <c r="O67" i="33"/>
  <c r="P67" i="33" s="1"/>
  <c r="I67" i="26"/>
  <c r="J67" i="26" s="1"/>
  <c r="O67" i="27"/>
  <c r="P67" i="27" s="1"/>
  <c r="O67" i="32"/>
  <c r="P67" i="32" s="1"/>
  <c r="O67" i="31"/>
  <c r="P67" i="31" s="1"/>
  <c r="O67" i="28"/>
  <c r="P67" i="28" s="1"/>
  <c r="O67" i="29"/>
  <c r="P67" i="29" s="1"/>
  <c r="O67" i="30"/>
  <c r="P67" i="30" s="1"/>
  <c r="O46" i="31"/>
  <c r="P46" i="31" s="1"/>
  <c r="O46" i="32"/>
  <c r="O46" i="28"/>
  <c r="P46" i="28" s="1"/>
  <c r="O46" i="33"/>
  <c r="P46" i="33" s="1"/>
  <c r="O46" i="29"/>
  <c r="P46" i="29" s="1"/>
  <c r="O46" i="27"/>
  <c r="P46" i="27" s="1"/>
  <c r="O46" i="30"/>
  <c r="P46" i="30" s="1"/>
  <c r="I46" i="26"/>
  <c r="J46" i="26" s="1"/>
  <c r="O91" i="33"/>
  <c r="P91" i="33" s="1"/>
  <c r="O91" i="32"/>
  <c r="P91" i="32" s="1"/>
  <c r="O91" i="29"/>
  <c r="P91" i="29" s="1"/>
  <c r="O91" i="31"/>
  <c r="P91" i="31" s="1"/>
  <c r="O91" i="27"/>
  <c r="P91" i="27" s="1"/>
  <c r="O91" i="30"/>
  <c r="P91" i="30" s="1"/>
  <c r="O91" i="28"/>
  <c r="P91" i="28" s="1"/>
  <c r="I91" i="26"/>
  <c r="J91" i="26" s="1"/>
  <c r="O104" i="31"/>
  <c r="O104" i="32"/>
  <c r="O104" i="33"/>
  <c r="O104" i="30"/>
  <c r="O104" i="28"/>
  <c r="O104" i="29"/>
  <c r="O104" i="27"/>
  <c r="I104" i="26"/>
  <c r="J104" i="26" s="1"/>
  <c r="O79" i="32"/>
  <c r="O79" i="31"/>
  <c r="O79" i="33"/>
  <c r="O79" i="29"/>
  <c r="O79" i="27"/>
  <c r="O79" i="28"/>
  <c r="O79" i="30"/>
  <c r="I79" i="26"/>
  <c r="J79" i="26" s="1"/>
  <c r="O71" i="32"/>
  <c r="P71" i="32" s="1"/>
  <c r="O71" i="31"/>
  <c r="P71" i="31" s="1"/>
  <c r="O71" i="28"/>
  <c r="P71" i="28" s="1"/>
  <c r="O71" i="29"/>
  <c r="P71" i="29" s="1"/>
  <c r="O71" i="30"/>
  <c r="P71" i="30" s="1"/>
  <c r="O71" i="27"/>
  <c r="P71" i="27" s="1"/>
  <c r="O71" i="33"/>
  <c r="P71" i="33" s="1"/>
  <c r="I71" i="26"/>
  <c r="J71" i="26" s="1"/>
  <c r="O88" i="32"/>
  <c r="P88" i="32" s="1"/>
  <c r="O88" i="31"/>
  <c r="P88" i="31" s="1"/>
  <c r="O88" i="29"/>
  <c r="P88" i="29" s="1"/>
  <c r="O88" i="28"/>
  <c r="P88" i="28" s="1"/>
  <c r="O88" i="30"/>
  <c r="P88" i="30" s="1"/>
  <c r="O88" i="27"/>
  <c r="P88" i="27" s="1"/>
  <c r="O88" i="33"/>
  <c r="P88" i="33" s="1"/>
  <c r="I88" i="26"/>
  <c r="J88" i="26" s="1"/>
  <c r="O81" i="33"/>
  <c r="P81" i="33" s="1"/>
  <c r="O81" i="30"/>
  <c r="P81" i="30" s="1"/>
  <c r="O81" i="29"/>
  <c r="P81" i="29" s="1"/>
  <c r="O81" i="32"/>
  <c r="P81" i="32" s="1"/>
  <c r="I81" i="26"/>
  <c r="J81" i="26" s="1"/>
  <c r="O81" i="31"/>
  <c r="P81" i="31" s="1"/>
  <c r="O81" i="27"/>
  <c r="P81" i="27" s="1"/>
  <c r="O81" i="28"/>
  <c r="P81" i="28" s="1"/>
  <c r="O86" i="32"/>
  <c r="P86" i="32" s="1"/>
  <c r="O86" i="31"/>
  <c r="P86" i="31" s="1"/>
  <c r="O86" i="30"/>
  <c r="P86" i="30" s="1"/>
  <c r="O86" i="33"/>
  <c r="P86" i="33" s="1"/>
  <c r="O86" i="28"/>
  <c r="P86" i="28" s="1"/>
  <c r="O86" i="29"/>
  <c r="P86" i="29" s="1"/>
  <c r="O86" i="27"/>
  <c r="P86" i="27" s="1"/>
  <c r="I86" i="26"/>
  <c r="J86" i="26" s="1"/>
  <c r="O17" i="33"/>
  <c r="P17" i="33" s="1"/>
  <c r="O17" i="32"/>
  <c r="P17" i="32" s="1"/>
  <c r="O17" i="31"/>
  <c r="P17" i="31" s="1"/>
  <c r="O17" i="29"/>
  <c r="P17" i="29" s="1"/>
  <c r="O17" i="30"/>
  <c r="P17" i="30" s="1"/>
  <c r="O17" i="28"/>
  <c r="P17" i="28" s="1"/>
  <c r="O17" i="27"/>
  <c r="P17" i="27" s="1"/>
  <c r="I17" i="26"/>
  <c r="J17" i="26" s="1"/>
  <c r="O99" i="33"/>
  <c r="P99" i="33" s="1"/>
  <c r="O99" i="30"/>
  <c r="P99" i="30" s="1"/>
  <c r="O99" i="29"/>
  <c r="P99" i="29" s="1"/>
  <c r="O99" i="27"/>
  <c r="P99" i="27" s="1"/>
  <c r="O90" i="32"/>
  <c r="P90" i="32" s="1"/>
  <c r="O90" i="31"/>
  <c r="P90" i="31" s="1"/>
  <c r="O90" i="33"/>
  <c r="P90" i="33" s="1"/>
  <c r="O90" i="30"/>
  <c r="P90" i="30" s="1"/>
  <c r="O90" i="28"/>
  <c r="P90" i="28" s="1"/>
  <c r="O90" i="29"/>
  <c r="P90" i="29" s="1"/>
  <c r="O90" i="27"/>
  <c r="P90" i="27" s="1"/>
  <c r="I90" i="26"/>
  <c r="J90" i="26" s="1"/>
  <c r="O78" i="33"/>
  <c r="O78" i="30"/>
  <c r="O78" i="31"/>
  <c r="O78" i="29"/>
  <c r="O78" i="32"/>
  <c r="O78" i="27"/>
  <c r="O78" i="28"/>
  <c r="I78" i="26"/>
  <c r="J78" i="26" s="1"/>
  <c r="O73" i="32"/>
  <c r="O73" i="31"/>
  <c r="O73" i="33"/>
  <c r="O73" i="30"/>
  <c r="O73" i="28"/>
  <c r="O73" i="29"/>
  <c r="O73" i="27"/>
  <c r="I73" i="26"/>
  <c r="J73" i="26" s="1"/>
  <c r="O74" i="33"/>
  <c r="O74" i="30"/>
  <c r="O74" i="29"/>
  <c r="O74" i="32"/>
  <c r="O74" i="31"/>
  <c r="O74" i="27"/>
  <c r="I74" i="26"/>
  <c r="J74" i="26" s="1"/>
  <c r="O74" i="28"/>
  <c r="O72" i="33"/>
  <c r="O72" i="30"/>
  <c r="P72" i="30" s="1"/>
  <c r="O72" i="29"/>
  <c r="P72" i="29" s="1"/>
  <c r="I72" i="26"/>
  <c r="J72" i="26" s="1"/>
  <c r="O72" i="28"/>
  <c r="P72" i="28" s="1"/>
  <c r="O72" i="27"/>
  <c r="P72" i="27" s="1"/>
  <c r="O72" i="32"/>
  <c r="P72" i="32" s="1"/>
  <c r="O72" i="31"/>
  <c r="P72" i="31" s="1"/>
  <c r="O77" i="32"/>
  <c r="O77" i="31"/>
  <c r="O77" i="30"/>
  <c r="O77" i="33"/>
  <c r="O77" i="28"/>
  <c r="O77" i="29"/>
  <c r="O77" i="27"/>
  <c r="I77" i="26"/>
  <c r="J77" i="26" s="1"/>
  <c r="O111" i="31"/>
  <c r="P111" i="31" s="1"/>
  <c r="O111" i="32"/>
  <c r="P111" i="32" s="1"/>
  <c r="O111" i="30"/>
  <c r="P111" i="30" s="1"/>
  <c r="O111" i="28"/>
  <c r="P111" i="28" s="1"/>
  <c r="O111" i="29"/>
  <c r="P111" i="29" s="1"/>
  <c r="O111" i="33"/>
  <c r="P111" i="33" s="1"/>
  <c r="I111" i="26"/>
  <c r="J111" i="26" s="1"/>
  <c r="O111" i="27"/>
  <c r="P111" i="27" s="1"/>
  <c r="O92" i="32"/>
  <c r="P92" i="32" s="1"/>
  <c r="O92" i="31"/>
  <c r="P92" i="31" s="1"/>
  <c r="O92" i="30"/>
  <c r="P92" i="30" s="1"/>
  <c r="O92" i="27"/>
  <c r="P92" i="27" s="1"/>
  <c r="O92" i="29"/>
  <c r="P92" i="29" s="1"/>
  <c r="O92" i="33"/>
  <c r="P92" i="33" s="1"/>
  <c r="O92" i="28"/>
  <c r="P92" i="28" s="1"/>
  <c r="I92" i="26"/>
  <c r="J92" i="26" s="1"/>
  <c r="O89" i="33"/>
  <c r="P89" i="33" s="1"/>
  <c r="O89" i="30"/>
  <c r="P89" i="30" s="1"/>
  <c r="O89" i="29"/>
  <c r="P89" i="29" s="1"/>
  <c r="I89" i="26"/>
  <c r="J89" i="26" s="1"/>
  <c r="O89" i="28"/>
  <c r="P89" i="28" s="1"/>
  <c r="O89" i="32"/>
  <c r="P89" i="32" s="1"/>
  <c r="O89" i="27"/>
  <c r="P89" i="27" s="1"/>
  <c r="O89" i="31"/>
  <c r="P89" i="31" s="1"/>
  <c r="O94" i="32"/>
  <c r="P94" i="32" s="1"/>
  <c r="O94" i="31"/>
  <c r="P94" i="31" s="1"/>
  <c r="O94" i="33"/>
  <c r="P94" i="33" s="1"/>
  <c r="O94" i="30"/>
  <c r="P94" i="30" s="1"/>
  <c r="O94" i="28"/>
  <c r="P94" i="28" s="1"/>
  <c r="O94" i="29"/>
  <c r="P94" i="29" s="1"/>
  <c r="O94" i="27"/>
  <c r="P94" i="27" s="1"/>
  <c r="I94" i="26"/>
  <c r="J94" i="26" s="1"/>
  <c r="O93" i="33"/>
  <c r="P93" i="33" s="1"/>
  <c r="O93" i="29"/>
  <c r="P93" i="29" s="1"/>
  <c r="O93" i="31"/>
  <c r="P93" i="31" s="1"/>
  <c r="O93" i="28"/>
  <c r="P93" i="28" s="1"/>
  <c r="I93" i="26"/>
  <c r="J93" i="26" s="1"/>
  <c r="O93" i="27"/>
  <c r="P93" i="27" s="1"/>
  <c r="O93" i="32"/>
  <c r="P93" i="32" s="1"/>
  <c r="O93" i="30"/>
  <c r="P93" i="30" s="1"/>
  <c r="O25" i="30"/>
  <c r="P25" i="30" s="1"/>
  <c r="O25" i="32"/>
  <c r="P25" i="32" s="1"/>
  <c r="O25" i="31"/>
  <c r="P25" i="31" s="1"/>
  <c r="O25" i="33"/>
  <c r="P25" i="33" s="1"/>
  <c r="O25" i="28"/>
  <c r="P25" i="28" s="1"/>
  <c r="O25" i="29"/>
  <c r="P25" i="29" s="1"/>
  <c r="O25" i="27"/>
  <c r="P25" i="27" s="1"/>
  <c r="I25" i="26"/>
  <c r="J25" i="26" s="1"/>
  <c r="O102" i="32"/>
  <c r="P102" i="32" s="1"/>
  <c r="O102" i="31"/>
  <c r="P102" i="31" s="1"/>
  <c r="O102" i="30"/>
  <c r="P102" i="30" s="1"/>
  <c r="O102" i="28"/>
  <c r="P102" i="28" s="1"/>
  <c r="O102" i="33"/>
  <c r="P102" i="33" s="1"/>
  <c r="O102" i="27"/>
  <c r="P102" i="27" s="1"/>
  <c r="O102" i="29"/>
  <c r="P102" i="29" s="1"/>
  <c r="I102" i="26"/>
  <c r="J102" i="26" s="1"/>
  <c r="O70" i="33"/>
  <c r="P70" i="33" s="1"/>
  <c r="O70" i="30"/>
  <c r="P70" i="30" s="1"/>
  <c r="O70" i="32"/>
  <c r="P70" i="32" s="1"/>
  <c r="O70" i="31"/>
  <c r="P70" i="31" s="1"/>
  <c r="O70" i="29"/>
  <c r="P70" i="29" s="1"/>
  <c r="O70" i="27"/>
  <c r="P70" i="27" s="1"/>
  <c r="O70" i="28"/>
  <c r="P70" i="28" s="1"/>
  <c r="I70" i="26"/>
  <c r="J70" i="26" s="1"/>
  <c r="O112" i="32"/>
  <c r="O112" i="31"/>
  <c r="O112" i="29"/>
  <c r="O112" i="30"/>
  <c r="O83" i="33"/>
  <c r="P83" i="33" s="1"/>
  <c r="O83" i="30"/>
  <c r="P83" i="30" s="1"/>
  <c r="O83" i="32"/>
  <c r="P83" i="32" s="1"/>
  <c r="O83" i="29"/>
  <c r="P83" i="29" s="1"/>
  <c r="O83" i="31"/>
  <c r="P83" i="31" s="1"/>
  <c r="O83" i="28"/>
  <c r="P83" i="28" s="1"/>
  <c r="O83" i="27"/>
  <c r="P83" i="27" s="1"/>
  <c r="I83" i="26"/>
  <c r="J83" i="26" s="1"/>
  <c r="O87" i="33"/>
  <c r="P87" i="33" s="1"/>
  <c r="O87" i="30"/>
  <c r="P87" i="30" s="1"/>
  <c r="O87" i="31"/>
  <c r="P87" i="31" s="1"/>
  <c r="O87" i="29"/>
  <c r="P87" i="29" s="1"/>
  <c r="O87" i="32"/>
  <c r="P87" i="32" s="1"/>
  <c r="O87" i="27"/>
  <c r="P87" i="27" s="1"/>
  <c r="I87" i="26"/>
  <c r="J87" i="26" s="1"/>
  <c r="O87" i="28"/>
  <c r="P87" i="28" s="1"/>
  <c r="O95" i="33"/>
  <c r="P95" i="33" s="1"/>
  <c r="O95" i="31"/>
  <c r="P95" i="31" s="1"/>
  <c r="O95" i="29"/>
  <c r="P95" i="29" s="1"/>
  <c r="O95" i="30"/>
  <c r="P95" i="30" s="1"/>
  <c r="O95" i="27"/>
  <c r="P95" i="27" s="1"/>
  <c r="O95" i="28"/>
  <c r="P95" i="28" s="1"/>
  <c r="O95" i="32"/>
  <c r="P95" i="32" s="1"/>
  <c r="I95" i="26"/>
  <c r="J95" i="26" s="1"/>
  <c r="O82" i="32"/>
  <c r="P82" i="32" s="1"/>
  <c r="O82" i="31"/>
  <c r="P82" i="31" s="1"/>
  <c r="O82" i="33"/>
  <c r="P82" i="33" s="1"/>
  <c r="O82" i="30"/>
  <c r="P82" i="30" s="1"/>
  <c r="O82" i="28"/>
  <c r="P82" i="28" s="1"/>
  <c r="O82" i="29"/>
  <c r="P82" i="29" s="1"/>
  <c r="O82" i="27"/>
  <c r="P82" i="27" s="1"/>
  <c r="I82" i="26"/>
  <c r="J82" i="26" s="1"/>
  <c r="O85" i="33"/>
  <c r="P85" i="33" s="1"/>
  <c r="O85" i="30"/>
  <c r="P85" i="30" s="1"/>
  <c r="O85" i="29"/>
  <c r="P85" i="29" s="1"/>
  <c r="I85" i="26"/>
  <c r="J85" i="26" s="1"/>
  <c r="O85" i="32"/>
  <c r="P85" i="32" s="1"/>
  <c r="O85" i="31"/>
  <c r="P85" i="31" s="1"/>
  <c r="O85" i="28"/>
  <c r="P85" i="28" s="1"/>
  <c r="O85" i="27"/>
  <c r="P85" i="27" s="1"/>
  <c r="O84" i="32"/>
  <c r="P84" i="32" s="1"/>
  <c r="O84" i="31"/>
  <c r="P84" i="31" s="1"/>
  <c r="O84" i="30"/>
  <c r="P84" i="30" s="1"/>
  <c r="O84" i="33"/>
  <c r="P84" i="33" s="1"/>
  <c r="O84" i="28"/>
  <c r="P84" i="28" s="1"/>
  <c r="O84" i="27"/>
  <c r="P84" i="27" s="1"/>
  <c r="O84" i="29"/>
  <c r="P84" i="29" s="1"/>
  <c r="I84" i="26"/>
  <c r="J84" i="26" s="1"/>
  <c r="O98" i="33"/>
  <c r="P98" i="33" s="1"/>
  <c r="O98" i="29"/>
  <c r="P98" i="29" s="1"/>
  <c r="O98" i="30"/>
  <c r="P98" i="30" s="1"/>
  <c r="O98" i="27"/>
  <c r="P98" i="27" s="1"/>
  <c r="O39" i="33"/>
  <c r="O39" i="30"/>
  <c r="O39" i="32"/>
  <c r="O39" i="29"/>
  <c r="I39" i="26"/>
  <c r="J39" i="26" s="1"/>
  <c r="O39" i="28"/>
  <c r="O39" i="27"/>
  <c r="O39" i="31"/>
  <c r="O52" i="31"/>
  <c r="P52" i="31" s="1"/>
  <c r="O52" i="30"/>
  <c r="P52" i="30" s="1"/>
  <c r="O52" i="33"/>
  <c r="O52" i="28"/>
  <c r="P52" i="28" s="1"/>
  <c r="O52" i="32"/>
  <c r="P52" i="32" s="1"/>
  <c r="O52" i="29"/>
  <c r="P52" i="29" s="1"/>
  <c r="O52" i="27"/>
  <c r="P52" i="27" s="1"/>
  <c r="I52" i="26"/>
  <c r="J52" i="26" s="1"/>
  <c r="O110" i="33"/>
  <c r="O110" i="32"/>
  <c r="O110" i="29"/>
  <c r="O110" i="27"/>
  <c r="I110" i="26"/>
  <c r="J110" i="26" s="1"/>
  <c r="O110" i="28"/>
  <c r="O110" i="30"/>
  <c r="O110" i="31"/>
  <c r="O75" i="32"/>
  <c r="O75" i="31"/>
  <c r="O75" i="28"/>
  <c r="O75" i="27"/>
  <c r="O75" i="30"/>
  <c r="O75" i="29"/>
  <c r="O75" i="33"/>
  <c r="I75" i="26"/>
  <c r="J75" i="26" s="1"/>
  <c r="O76" i="33"/>
  <c r="O76" i="30"/>
  <c r="O76" i="29"/>
  <c r="O76" i="31"/>
  <c r="O76" i="28"/>
  <c r="I76" i="26"/>
  <c r="J76" i="26" s="1"/>
  <c r="O76" i="27"/>
  <c r="O76" i="32"/>
  <c r="O109" i="31"/>
  <c r="O109" i="33"/>
  <c r="O109" i="30"/>
  <c r="O109" i="32"/>
  <c r="O109" i="28"/>
  <c r="O109" i="29"/>
  <c r="O109" i="27"/>
  <c r="I109" i="26"/>
  <c r="J109" i="26" s="1"/>
  <c r="G3687" i="13"/>
  <c r="G3692" i="13" s="1"/>
  <c r="G3714" i="13" s="1"/>
  <c r="G1530" i="13"/>
  <c r="G559" i="13"/>
  <c r="G1666" i="13"/>
  <c r="G894" i="13"/>
  <c r="G627" i="13"/>
  <c r="G1121" i="13"/>
  <c r="G1711" i="13"/>
  <c r="G423" i="13"/>
  <c r="G3574" i="13"/>
  <c r="G1303" i="13"/>
  <c r="G672" i="13"/>
  <c r="G3667" i="13"/>
  <c r="G316" i="13"/>
  <c r="G1213" i="13"/>
  <c r="G526" i="13"/>
  <c r="G1801" i="13"/>
  <c r="G1031" i="13"/>
  <c r="G492" i="13"/>
  <c r="G1892" i="13"/>
  <c r="G1575" i="13"/>
  <c r="P168" i="30"/>
  <c r="E104" i="25"/>
  <c r="E10" i="25"/>
  <c r="E11" i="25"/>
  <c r="E12" i="25"/>
  <c r="E15" i="25"/>
  <c r="E16" i="25"/>
  <c r="E17" i="25"/>
  <c r="E18" i="25"/>
  <c r="E19" i="25"/>
  <c r="E20" i="25"/>
  <c r="E21" i="25"/>
  <c r="E23" i="25"/>
  <c r="E25" i="25"/>
  <c r="E26" i="25"/>
  <c r="E27" i="25"/>
  <c r="E28" i="25"/>
  <c r="E29"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60" i="25"/>
  <c r="E61" i="25"/>
  <c r="E62" i="25"/>
  <c r="E63" i="25"/>
  <c r="E64" i="25"/>
  <c r="E65" i="25"/>
  <c r="E66" i="25"/>
  <c r="E68" i="25"/>
  <c r="E69" i="25"/>
  <c r="E70" i="25"/>
  <c r="E71" i="25"/>
  <c r="E72" i="25"/>
  <c r="E73" i="25"/>
  <c r="E74" i="25"/>
  <c r="E76" i="25"/>
  <c r="E77" i="25"/>
  <c r="E78" i="25"/>
  <c r="E79" i="25"/>
  <c r="E80" i="25"/>
  <c r="E81" i="25"/>
  <c r="E82" i="25"/>
  <c r="E83" i="25"/>
  <c r="E84" i="25"/>
  <c r="E85" i="25"/>
  <c r="E86" i="25"/>
  <c r="E87" i="25"/>
  <c r="E88" i="25"/>
  <c r="E89" i="25"/>
  <c r="E90" i="25"/>
  <c r="E91" i="25"/>
  <c r="E93" i="25"/>
  <c r="E94" i="25"/>
  <c r="E95" i="25"/>
  <c r="E96" i="25"/>
  <c r="E97" i="25"/>
  <c r="E99" i="25"/>
  <c r="E100" i="25"/>
  <c r="E101" i="25"/>
  <c r="E102" i="25"/>
  <c r="E9" i="25"/>
  <c r="B99" i="25"/>
  <c r="C99" i="25"/>
  <c r="D99" i="25"/>
  <c r="B100" i="25"/>
  <c r="C100" i="25"/>
  <c r="D100" i="25"/>
  <c r="B101" i="25"/>
  <c r="C101" i="25"/>
  <c r="D101" i="25"/>
  <c r="B102" i="25"/>
  <c r="C102" i="25"/>
  <c r="D102" i="25"/>
  <c r="B103" i="25"/>
  <c r="C103" i="25"/>
  <c r="D103" i="25"/>
  <c r="B104" i="25"/>
  <c r="C104" i="25"/>
  <c r="D104" i="25"/>
  <c r="B87" i="25"/>
  <c r="C87" i="25"/>
  <c r="D87" i="25"/>
  <c r="B88" i="25"/>
  <c r="C88" i="25"/>
  <c r="D88" i="25"/>
  <c r="B89" i="25"/>
  <c r="C89" i="25"/>
  <c r="D89" i="25"/>
  <c r="B90" i="25"/>
  <c r="C90" i="25"/>
  <c r="D90" i="25"/>
  <c r="B91" i="25"/>
  <c r="C91" i="25"/>
  <c r="D91" i="25"/>
  <c r="B92" i="25"/>
  <c r="C92" i="25"/>
  <c r="D92" i="25"/>
  <c r="B93" i="25"/>
  <c r="C93" i="25"/>
  <c r="D93" i="25"/>
  <c r="B94" i="25"/>
  <c r="C94" i="25"/>
  <c r="D94" i="25"/>
  <c r="B95" i="25"/>
  <c r="C95" i="25"/>
  <c r="D95" i="25"/>
  <c r="B96" i="25"/>
  <c r="C96" i="25"/>
  <c r="D96" i="25"/>
  <c r="B97" i="25"/>
  <c r="C97" i="25"/>
  <c r="D97" i="25"/>
  <c r="B98" i="25"/>
  <c r="C98" i="25"/>
  <c r="D98" i="25"/>
  <c r="B10" i="25"/>
  <c r="C10" i="25"/>
  <c r="D10" i="25"/>
  <c r="B11" i="25"/>
  <c r="C11" i="25"/>
  <c r="D11" i="25"/>
  <c r="B12" i="25"/>
  <c r="C12" i="25"/>
  <c r="D12" i="25"/>
  <c r="B13" i="25"/>
  <c r="C13" i="25"/>
  <c r="D13" i="25"/>
  <c r="B14" i="25"/>
  <c r="C14" i="25"/>
  <c r="D14" i="25"/>
  <c r="B15" i="25"/>
  <c r="C15" i="25"/>
  <c r="D15" i="25"/>
  <c r="B16" i="25"/>
  <c r="C16" i="25"/>
  <c r="D16" i="25"/>
  <c r="B17" i="25"/>
  <c r="C17" i="25"/>
  <c r="D17" i="25"/>
  <c r="B18" i="25"/>
  <c r="C18" i="25"/>
  <c r="D18" i="25"/>
  <c r="B19" i="25"/>
  <c r="C19" i="25"/>
  <c r="D19" i="25"/>
  <c r="B20" i="25"/>
  <c r="C20" i="25"/>
  <c r="D20" i="25"/>
  <c r="B21" i="25"/>
  <c r="C21" i="25"/>
  <c r="D21" i="25"/>
  <c r="B22" i="25"/>
  <c r="C22" i="25"/>
  <c r="D22" i="25"/>
  <c r="B23" i="25"/>
  <c r="C23" i="25"/>
  <c r="D23" i="25"/>
  <c r="B24" i="25"/>
  <c r="C24" i="25"/>
  <c r="D24" i="25"/>
  <c r="B25" i="25"/>
  <c r="C25" i="25"/>
  <c r="D25" i="25"/>
  <c r="B26" i="25"/>
  <c r="C26" i="25"/>
  <c r="D26" i="25"/>
  <c r="B27" i="25"/>
  <c r="C27" i="25"/>
  <c r="D27" i="25"/>
  <c r="B28" i="25"/>
  <c r="C28" i="25"/>
  <c r="D28" i="25"/>
  <c r="B29" i="25"/>
  <c r="C29" i="25"/>
  <c r="D29" i="25"/>
  <c r="C30" i="25"/>
  <c r="D30" i="25"/>
  <c r="B31" i="25"/>
  <c r="C31" i="25"/>
  <c r="D31" i="25"/>
  <c r="B32" i="25"/>
  <c r="C32" i="25"/>
  <c r="D32" i="25"/>
  <c r="B33" i="25"/>
  <c r="C33" i="25"/>
  <c r="D33" i="25"/>
  <c r="B34" i="25"/>
  <c r="C34" i="25"/>
  <c r="D34" i="25"/>
  <c r="B35" i="25"/>
  <c r="C35" i="25"/>
  <c r="D35" i="25"/>
  <c r="B36" i="25"/>
  <c r="C36" i="25"/>
  <c r="D36" i="25"/>
  <c r="B37" i="25"/>
  <c r="C37" i="25"/>
  <c r="D37" i="25"/>
  <c r="B38" i="25"/>
  <c r="C38" i="25"/>
  <c r="D38" i="25"/>
  <c r="B39" i="25"/>
  <c r="C39" i="25"/>
  <c r="D39" i="25"/>
  <c r="B40" i="25"/>
  <c r="C40" i="25"/>
  <c r="D40" i="25"/>
  <c r="B41" i="25"/>
  <c r="C41" i="25"/>
  <c r="D41" i="25"/>
  <c r="B42" i="25"/>
  <c r="C42" i="25"/>
  <c r="D42" i="25"/>
  <c r="B43" i="25"/>
  <c r="C43" i="25"/>
  <c r="D43" i="25"/>
  <c r="B44" i="25"/>
  <c r="C44" i="25"/>
  <c r="D44" i="25"/>
  <c r="B45" i="25"/>
  <c r="C45" i="25"/>
  <c r="D45" i="25"/>
  <c r="B46" i="25"/>
  <c r="C46" i="25"/>
  <c r="D46" i="25"/>
  <c r="B47" i="25"/>
  <c r="C47" i="25"/>
  <c r="D47" i="25"/>
  <c r="B48" i="25"/>
  <c r="C48" i="25"/>
  <c r="D48" i="25"/>
  <c r="B49" i="25"/>
  <c r="C49" i="25"/>
  <c r="D49" i="25"/>
  <c r="B50" i="25"/>
  <c r="C50" i="25"/>
  <c r="D50" i="25"/>
  <c r="B51" i="25"/>
  <c r="C51" i="25"/>
  <c r="D51" i="25"/>
  <c r="B52" i="25"/>
  <c r="C52" i="25"/>
  <c r="D52" i="25"/>
  <c r="B53" i="25"/>
  <c r="C53" i="25"/>
  <c r="D53" i="25"/>
  <c r="B54" i="25"/>
  <c r="C54" i="25"/>
  <c r="D54" i="25"/>
  <c r="B55" i="25"/>
  <c r="C55" i="25"/>
  <c r="D55" i="25"/>
  <c r="B56" i="25"/>
  <c r="C56" i="25"/>
  <c r="D56" i="25"/>
  <c r="B57" i="25"/>
  <c r="C57" i="25"/>
  <c r="D57" i="25"/>
  <c r="B58" i="25"/>
  <c r="C58" i="25"/>
  <c r="D58" i="25"/>
  <c r="B59" i="25"/>
  <c r="C59" i="25"/>
  <c r="D59" i="25"/>
  <c r="B60" i="25"/>
  <c r="C60" i="25"/>
  <c r="D60" i="25"/>
  <c r="B61" i="25"/>
  <c r="C61" i="25"/>
  <c r="D61" i="25"/>
  <c r="B62" i="25"/>
  <c r="C62" i="25"/>
  <c r="D62" i="25"/>
  <c r="B63" i="25"/>
  <c r="C63" i="25"/>
  <c r="D63" i="25"/>
  <c r="B64" i="25"/>
  <c r="C64" i="25"/>
  <c r="D64" i="25"/>
  <c r="B65" i="25"/>
  <c r="C65" i="25"/>
  <c r="D65" i="25"/>
  <c r="B66" i="25"/>
  <c r="C66" i="25"/>
  <c r="D66" i="25"/>
  <c r="B67" i="25"/>
  <c r="C67" i="25"/>
  <c r="D67" i="25"/>
  <c r="B68" i="25"/>
  <c r="C68" i="25"/>
  <c r="D68" i="25"/>
  <c r="B69" i="25"/>
  <c r="C69" i="25"/>
  <c r="D69" i="25"/>
  <c r="B70" i="25"/>
  <c r="C70" i="25"/>
  <c r="D70" i="25"/>
  <c r="B71" i="25"/>
  <c r="C71" i="25"/>
  <c r="D71" i="25"/>
  <c r="B72" i="25"/>
  <c r="C72" i="25"/>
  <c r="D72" i="25"/>
  <c r="B73" i="25"/>
  <c r="C73" i="25"/>
  <c r="D73" i="25"/>
  <c r="B74" i="25"/>
  <c r="C74" i="25"/>
  <c r="D74" i="25"/>
  <c r="B75" i="25"/>
  <c r="C75" i="25"/>
  <c r="B76" i="25"/>
  <c r="C76" i="25"/>
  <c r="D76" i="25"/>
  <c r="B77" i="25"/>
  <c r="C77" i="25"/>
  <c r="D77" i="25"/>
  <c r="B78" i="25"/>
  <c r="C78" i="25"/>
  <c r="D78" i="25"/>
  <c r="B79" i="25"/>
  <c r="C79" i="25"/>
  <c r="D79" i="25"/>
  <c r="B80" i="25"/>
  <c r="C80" i="25"/>
  <c r="D80" i="25"/>
  <c r="B81" i="25"/>
  <c r="C81" i="25"/>
  <c r="D81" i="25"/>
  <c r="B82" i="25"/>
  <c r="C82" i="25"/>
  <c r="D82" i="25"/>
  <c r="B83" i="25"/>
  <c r="C83" i="25"/>
  <c r="D83" i="25"/>
  <c r="B84" i="25"/>
  <c r="C84" i="25"/>
  <c r="D84" i="25"/>
  <c r="B85" i="25"/>
  <c r="C85" i="25"/>
  <c r="D85" i="25"/>
  <c r="B86" i="25"/>
  <c r="C86" i="25"/>
  <c r="D86" i="25"/>
  <c r="C9" i="25"/>
  <c r="D9" i="25"/>
  <c r="B9" i="25"/>
  <c r="C8" i="25"/>
  <c r="B8" i="25"/>
  <c r="P66" i="27" l="1"/>
  <c r="M66" i="27" s="1"/>
  <c r="M146" i="27" s="1"/>
  <c r="K66" i="27"/>
  <c r="K146" i="27" s="1"/>
  <c r="K65" i="30"/>
  <c r="K145" i="30" s="1"/>
  <c r="P65" i="30"/>
  <c r="M65" i="30" s="1"/>
  <c r="M145" i="30" s="1"/>
  <c r="P66" i="28"/>
  <c r="M66" i="28" s="1"/>
  <c r="M146" i="28" s="1"/>
  <c r="K66" i="28"/>
  <c r="K146" i="28" s="1"/>
  <c r="P65" i="33"/>
  <c r="M65" i="33" s="1"/>
  <c r="M145" i="33" s="1"/>
  <c r="K65" i="33"/>
  <c r="K145" i="33" s="1"/>
  <c r="P65" i="32"/>
  <c r="M65" i="32" s="1"/>
  <c r="M145" i="32" s="1"/>
  <c r="K65" i="32"/>
  <c r="K145" i="32" s="1"/>
  <c r="P66" i="32"/>
  <c r="M66" i="32" s="1"/>
  <c r="M146" i="32" s="1"/>
  <c r="K66" i="32"/>
  <c r="K146" i="32" s="1"/>
  <c r="P66" i="29"/>
  <c r="M66" i="29" s="1"/>
  <c r="M146" i="29" s="1"/>
  <c r="K66" i="29"/>
  <c r="K146" i="29" s="1"/>
  <c r="P65" i="27"/>
  <c r="M65" i="27" s="1"/>
  <c r="M145" i="27" s="1"/>
  <c r="K65" i="27"/>
  <c r="K145" i="27" s="1"/>
  <c r="P66" i="31"/>
  <c r="M66" i="31" s="1"/>
  <c r="M146" i="31" s="1"/>
  <c r="K66" i="31"/>
  <c r="K146" i="31" s="1"/>
  <c r="P65" i="29"/>
  <c r="M65" i="29" s="1"/>
  <c r="M145" i="29" s="1"/>
  <c r="K65" i="29"/>
  <c r="K145" i="29" s="1"/>
  <c r="P66" i="30"/>
  <c r="M66" i="30" s="1"/>
  <c r="M146" i="30" s="1"/>
  <c r="K66" i="30"/>
  <c r="K146" i="30" s="1"/>
  <c r="P65" i="31"/>
  <c r="M65" i="31" s="1"/>
  <c r="M145" i="31" s="1"/>
  <c r="K65" i="31"/>
  <c r="K145" i="31" s="1"/>
  <c r="P65" i="28"/>
  <c r="M65" i="28" s="1"/>
  <c r="M145" i="28" s="1"/>
  <c r="K65" i="28"/>
  <c r="K145" i="28" s="1"/>
  <c r="P66" i="33"/>
  <c r="M66" i="33" s="1"/>
  <c r="M146" i="33" s="1"/>
  <c r="K66" i="33"/>
  <c r="K146" i="33" s="1"/>
  <c r="O63" i="33"/>
  <c r="P63" i="33" s="1"/>
  <c r="O63" i="30"/>
  <c r="P63" i="30" s="1"/>
  <c r="O63" i="29"/>
  <c r="P63" i="29" s="1"/>
  <c r="I63" i="26"/>
  <c r="J63" i="26" s="1"/>
  <c r="O63" i="32"/>
  <c r="P63" i="32" s="1"/>
  <c r="O63" i="31"/>
  <c r="P63" i="31" s="1"/>
  <c r="O63" i="28"/>
  <c r="P63" i="28" s="1"/>
  <c r="O63" i="27"/>
  <c r="P63" i="27" s="1"/>
  <c r="O58" i="32"/>
  <c r="P58" i="32" s="1"/>
  <c r="O58" i="31"/>
  <c r="P58" i="31" s="1"/>
  <c r="O58" i="28"/>
  <c r="P58" i="28" s="1"/>
  <c r="O58" i="27"/>
  <c r="P58" i="27" s="1"/>
  <c r="O58" i="30"/>
  <c r="P58" i="30" s="1"/>
  <c r="O58" i="29"/>
  <c r="P58" i="29" s="1"/>
  <c r="O58" i="33"/>
  <c r="I58" i="26"/>
  <c r="J58" i="26" s="1"/>
  <c r="O50" i="31"/>
  <c r="P50" i="31" s="1"/>
  <c r="O50" i="28"/>
  <c r="P50" i="28" s="1"/>
  <c r="O50" i="32"/>
  <c r="P50" i="32" s="1"/>
  <c r="O50" i="30"/>
  <c r="P50" i="30" s="1"/>
  <c r="O50" i="33"/>
  <c r="O50" i="27"/>
  <c r="P50" i="27" s="1"/>
  <c r="O50" i="29"/>
  <c r="P50" i="29" s="1"/>
  <c r="I50" i="26"/>
  <c r="J50" i="26" s="1"/>
  <c r="P109" i="32"/>
  <c r="M109" i="32" s="1"/>
  <c r="K109" i="32"/>
  <c r="K75" i="27"/>
  <c r="K156" i="27" s="1"/>
  <c r="P75" i="27"/>
  <c r="M75" i="27" s="1"/>
  <c r="M156" i="27" s="1"/>
  <c r="K110" i="27"/>
  <c r="P110" i="27"/>
  <c r="M110" i="27" s="1"/>
  <c r="P39" i="29"/>
  <c r="M39" i="29" s="1"/>
  <c r="M121" i="29" s="1"/>
  <c r="K39" i="29"/>
  <c r="K121" i="29" s="1"/>
  <c r="P112" i="32"/>
  <c r="M112" i="32" s="1"/>
  <c r="K112" i="32"/>
  <c r="P74" i="31"/>
  <c r="M74" i="31" s="1"/>
  <c r="M155" i="31" s="1"/>
  <c r="K74" i="31"/>
  <c r="K155" i="31" s="1"/>
  <c r="P73" i="29"/>
  <c r="M73" i="29" s="1"/>
  <c r="M153" i="29" s="1"/>
  <c r="K73" i="29"/>
  <c r="K153" i="29" s="1"/>
  <c r="P78" i="27"/>
  <c r="M78" i="27" s="1"/>
  <c r="M159" i="27" s="1"/>
  <c r="K78" i="27"/>
  <c r="K159" i="27" s="1"/>
  <c r="K79" i="30"/>
  <c r="K160" i="30" s="1"/>
  <c r="P79" i="30"/>
  <c r="M79" i="30" s="1"/>
  <c r="M160" i="30" s="1"/>
  <c r="K104" i="27"/>
  <c r="P104" i="27"/>
  <c r="M104" i="27" s="1"/>
  <c r="O60" i="32"/>
  <c r="P60" i="32" s="1"/>
  <c r="O60" i="31"/>
  <c r="P60" i="31" s="1"/>
  <c r="O60" i="30"/>
  <c r="P60" i="30" s="1"/>
  <c r="O60" i="33"/>
  <c r="O60" i="28"/>
  <c r="P60" i="28" s="1"/>
  <c r="O60" i="29"/>
  <c r="P60" i="29" s="1"/>
  <c r="O60" i="27"/>
  <c r="P60" i="27" s="1"/>
  <c r="I60" i="26"/>
  <c r="J60" i="26" s="1"/>
  <c r="O105" i="33"/>
  <c r="O105" i="29"/>
  <c r="O105" i="32"/>
  <c r="O105" i="30"/>
  <c r="O105" i="27"/>
  <c r="I105" i="26"/>
  <c r="J105" i="26" s="1"/>
  <c r="O105" i="31"/>
  <c r="O105" i="28"/>
  <c r="O45" i="33"/>
  <c r="O45" i="30"/>
  <c r="P45" i="30" s="1"/>
  <c r="O45" i="32"/>
  <c r="P45" i="32" s="1"/>
  <c r="O45" i="31"/>
  <c r="P45" i="31" s="1"/>
  <c r="O45" i="29"/>
  <c r="P45" i="29" s="1"/>
  <c r="O45" i="27"/>
  <c r="P45" i="27" s="1"/>
  <c r="O45" i="28"/>
  <c r="P45" i="28" s="1"/>
  <c r="I45" i="26"/>
  <c r="J45" i="26" s="1"/>
  <c r="O41" i="33"/>
  <c r="O41" i="30"/>
  <c r="P41" i="30" s="1"/>
  <c r="O41" i="29"/>
  <c r="P41" i="29" s="1"/>
  <c r="O41" i="31"/>
  <c r="P41" i="31" s="1"/>
  <c r="O41" i="27"/>
  <c r="P41" i="27" s="1"/>
  <c r="O41" i="32"/>
  <c r="P41" i="32" s="1"/>
  <c r="I41" i="26"/>
  <c r="J41" i="26" s="1"/>
  <c r="O41" i="28"/>
  <c r="P41" i="28" s="1"/>
  <c r="O42" i="31"/>
  <c r="P42" i="31" s="1"/>
  <c r="O42" i="32"/>
  <c r="P42" i="32" s="1"/>
  <c r="O42" i="28"/>
  <c r="P42" i="28" s="1"/>
  <c r="O42" i="27"/>
  <c r="P42" i="27" s="1"/>
  <c r="O42" i="30"/>
  <c r="P42" i="30" s="1"/>
  <c r="O42" i="29"/>
  <c r="P42" i="29" s="1"/>
  <c r="O42" i="33"/>
  <c r="I42" i="26"/>
  <c r="J42" i="26" s="1"/>
  <c r="P109" i="30"/>
  <c r="M109" i="30" s="1"/>
  <c r="K109" i="30"/>
  <c r="P75" i="33"/>
  <c r="M75" i="33" s="1"/>
  <c r="M156" i="33" s="1"/>
  <c r="K75" i="33"/>
  <c r="K156" i="33" s="1"/>
  <c r="K75" i="28"/>
  <c r="K156" i="28" s="1"/>
  <c r="P75" i="28"/>
  <c r="M75" i="28" s="1"/>
  <c r="M156" i="28" s="1"/>
  <c r="P110" i="30"/>
  <c r="M110" i="30" s="1"/>
  <c r="K110" i="30"/>
  <c r="K110" i="29"/>
  <c r="P110" i="29"/>
  <c r="M110" i="29" s="1"/>
  <c r="H134" i="33"/>
  <c r="P52" i="33"/>
  <c r="I134" i="33" s="1"/>
  <c r="P39" i="32"/>
  <c r="M39" i="32" s="1"/>
  <c r="M121" i="32" s="1"/>
  <c r="K39" i="32"/>
  <c r="K121" i="32" s="1"/>
  <c r="P112" i="30"/>
  <c r="M112" i="30" s="1"/>
  <c r="K112" i="30"/>
  <c r="P77" i="33"/>
  <c r="M77" i="33" s="1"/>
  <c r="M158" i="33" s="1"/>
  <c r="K77" i="33"/>
  <c r="K158" i="33" s="1"/>
  <c r="P74" i="28"/>
  <c r="M74" i="28" s="1"/>
  <c r="M155" i="28" s="1"/>
  <c r="K74" i="28"/>
  <c r="K155" i="28" s="1"/>
  <c r="P74" i="32"/>
  <c r="M74" i="32" s="1"/>
  <c r="M155" i="32" s="1"/>
  <c r="K74" i="32"/>
  <c r="K155" i="32" s="1"/>
  <c r="P73" i="28"/>
  <c r="M73" i="28" s="1"/>
  <c r="M153" i="28" s="1"/>
  <c r="K73" i="28"/>
  <c r="K153" i="28" s="1"/>
  <c r="P73" i="32"/>
  <c r="M73" i="32" s="1"/>
  <c r="M153" i="32" s="1"/>
  <c r="K73" i="32"/>
  <c r="K153" i="32" s="1"/>
  <c r="P78" i="32"/>
  <c r="M78" i="32" s="1"/>
  <c r="M159" i="32" s="1"/>
  <c r="K78" i="32"/>
  <c r="K159" i="32" s="1"/>
  <c r="P78" i="33"/>
  <c r="M78" i="33" s="1"/>
  <c r="M159" i="33" s="1"/>
  <c r="K78" i="33"/>
  <c r="K159" i="33" s="1"/>
  <c r="K79" i="28"/>
  <c r="K160" i="28" s="1"/>
  <c r="P79" i="28"/>
  <c r="M79" i="28" s="1"/>
  <c r="M160" i="28" s="1"/>
  <c r="K79" i="31"/>
  <c r="K160" i="31" s="1"/>
  <c r="P79" i="31"/>
  <c r="M79" i="31" s="1"/>
  <c r="M160" i="31" s="1"/>
  <c r="P104" i="29"/>
  <c r="M104" i="29" s="1"/>
  <c r="K104" i="29"/>
  <c r="P104" i="32"/>
  <c r="M104" i="32" s="1"/>
  <c r="K104" i="32"/>
  <c r="O62" i="32"/>
  <c r="P62" i="32" s="1"/>
  <c r="O62" i="31"/>
  <c r="P62" i="31" s="1"/>
  <c r="O62" i="28"/>
  <c r="P62" i="28" s="1"/>
  <c r="O62" i="33"/>
  <c r="P62" i="33" s="1"/>
  <c r="O62" i="29"/>
  <c r="P62" i="29" s="1"/>
  <c r="O62" i="27"/>
  <c r="P62" i="27" s="1"/>
  <c r="O62" i="30"/>
  <c r="P62" i="30" s="1"/>
  <c r="I62" i="26"/>
  <c r="J62" i="26" s="1"/>
  <c r="O48" i="31"/>
  <c r="P48" i="31" s="1"/>
  <c r="O48" i="33"/>
  <c r="O48" i="30"/>
  <c r="P48" i="30" s="1"/>
  <c r="O48" i="28"/>
  <c r="P48" i="28" s="1"/>
  <c r="O48" i="32"/>
  <c r="P48" i="32" s="1"/>
  <c r="O48" i="29"/>
  <c r="P48" i="29" s="1"/>
  <c r="O48" i="27"/>
  <c r="P48" i="27" s="1"/>
  <c r="I48" i="26"/>
  <c r="J48" i="26" s="1"/>
  <c r="O35" i="33"/>
  <c r="O35" i="30"/>
  <c r="O35" i="32"/>
  <c r="O35" i="29"/>
  <c r="O35" i="28"/>
  <c r="I35" i="26"/>
  <c r="J35" i="26" s="1"/>
  <c r="O35" i="31"/>
  <c r="O35" i="27"/>
  <c r="O56" i="32"/>
  <c r="P56" i="32" s="1"/>
  <c r="O56" i="31"/>
  <c r="P56" i="31" s="1"/>
  <c r="O56" i="33"/>
  <c r="O56" i="30"/>
  <c r="P56" i="30" s="1"/>
  <c r="O56" i="28"/>
  <c r="P56" i="28" s="1"/>
  <c r="O56" i="29"/>
  <c r="P56" i="29" s="1"/>
  <c r="O56" i="27"/>
  <c r="P56" i="27" s="1"/>
  <c r="I56" i="26"/>
  <c r="J56" i="26" s="1"/>
  <c r="O36" i="32"/>
  <c r="O36" i="31"/>
  <c r="O36" i="30"/>
  <c r="O36" i="33"/>
  <c r="O36" i="28"/>
  <c r="O36" i="29"/>
  <c r="O36" i="27"/>
  <c r="I36" i="26"/>
  <c r="J36" i="26" s="1"/>
  <c r="O61" i="33"/>
  <c r="O61" i="30"/>
  <c r="P61" i="30" s="1"/>
  <c r="O61" i="32"/>
  <c r="P61" i="32" s="1"/>
  <c r="O61" i="31"/>
  <c r="P61" i="31" s="1"/>
  <c r="O61" i="29"/>
  <c r="P61" i="29" s="1"/>
  <c r="O61" i="27"/>
  <c r="P61" i="27" s="1"/>
  <c r="O61" i="28"/>
  <c r="P61" i="28" s="1"/>
  <c r="I61" i="26"/>
  <c r="J61" i="26" s="1"/>
  <c r="O53" i="33"/>
  <c r="O53" i="30"/>
  <c r="P53" i="30" s="1"/>
  <c r="O53" i="32"/>
  <c r="P53" i="32" s="1"/>
  <c r="O53" i="31"/>
  <c r="P53" i="31" s="1"/>
  <c r="O53" i="29"/>
  <c r="P53" i="29" s="1"/>
  <c r="O53" i="27"/>
  <c r="P53" i="27" s="1"/>
  <c r="O53" i="28"/>
  <c r="P53" i="28" s="1"/>
  <c r="I53" i="26"/>
  <c r="J53" i="26" s="1"/>
  <c r="O106" i="31"/>
  <c r="O106" i="30"/>
  <c r="O106" i="32"/>
  <c r="O106" i="28"/>
  <c r="O106" i="29"/>
  <c r="O106" i="33"/>
  <c r="O106" i="27"/>
  <c r="I106" i="26"/>
  <c r="J106" i="26" s="1"/>
  <c r="P109" i="29"/>
  <c r="M109" i="29" s="1"/>
  <c r="K109" i="29"/>
  <c r="P109" i="33"/>
  <c r="M109" i="33" s="1"/>
  <c r="K109" i="33"/>
  <c r="P75" i="29"/>
  <c r="M75" i="29" s="1"/>
  <c r="M156" i="29" s="1"/>
  <c r="K75" i="29"/>
  <c r="K156" i="29" s="1"/>
  <c r="K75" i="31"/>
  <c r="K156" i="31" s="1"/>
  <c r="P75" i="31"/>
  <c r="M75" i="31" s="1"/>
  <c r="M156" i="31" s="1"/>
  <c r="K110" i="28"/>
  <c r="P110" i="28"/>
  <c r="M110" i="28" s="1"/>
  <c r="P110" i="32"/>
  <c r="M110" i="32" s="1"/>
  <c r="K110" i="32"/>
  <c r="P39" i="28"/>
  <c r="M39" i="28" s="1"/>
  <c r="M121" i="28" s="1"/>
  <c r="K39" i="28"/>
  <c r="K121" i="28" s="1"/>
  <c r="P39" i="30"/>
  <c r="M39" i="30" s="1"/>
  <c r="M121" i="30" s="1"/>
  <c r="K39" i="30"/>
  <c r="K121" i="30" s="1"/>
  <c r="K112" i="29"/>
  <c r="P112" i="29"/>
  <c r="M112" i="29" s="1"/>
  <c r="K77" i="27"/>
  <c r="K158" i="27" s="1"/>
  <c r="P77" i="27"/>
  <c r="M77" i="27" s="1"/>
  <c r="M158" i="27" s="1"/>
  <c r="K77" i="30"/>
  <c r="K158" i="30" s="1"/>
  <c r="P77" i="30"/>
  <c r="M77" i="30" s="1"/>
  <c r="M158" i="30" s="1"/>
  <c r="P74" i="29"/>
  <c r="M74" i="29" s="1"/>
  <c r="M155" i="29" s="1"/>
  <c r="K74" i="29"/>
  <c r="K155" i="29" s="1"/>
  <c r="P73" i="30"/>
  <c r="M73" i="30" s="1"/>
  <c r="M154" i="30" s="1"/>
  <c r="K73" i="30"/>
  <c r="K154" i="30" s="1"/>
  <c r="P78" i="29"/>
  <c r="M78" i="29" s="1"/>
  <c r="M159" i="29" s="1"/>
  <c r="K78" i="29"/>
  <c r="K159" i="29" s="1"/>
  <c r="P79" i="27"/>
  <c r="M79" i="27" s="1"/>
  <c r="M160" i="27" s="1"/>
  <c r="K79" i="27"/>
  <c r="K160" i="27" s="1"/>
  <c r="K79" i="32"/>
  <c r="K160" i="32" s="1"/>
  <c r="P79" i="32"/>
  <c r="M79" i="32" s="1"/>
  <c r="M160" i="32" s="1"/>
  <c r="P104" i="28"/>
  <c r="M104" i="28" s="1"/>
  <c r="K104" i="28"/>
  <c r="P104" i="31"/>
  <c r="M104" i="31" s="1"/>
  <c r="K104" i="31"/>
  <c r="O101" i="33"/>
  <c r="P101" i="33" s="1"/>
  <c r="O101" i="32"/>
  <c r="P101" i="32" s="1"/>
  <c r="O101" i="29"/>
  <c r="P101" i="29" s="1"/>
  <c r="O101" i="27"/>
  <c r="I101" i="26"/>
  <c r="J101" i="26" s="1"/>
  <c r="O101" i="31"/>
  <c r="P101" i="31" s="1"/>
  <c r="O101" i="30"/>
  <c r="P101" i="30" s="1"/>
  <c r="O101" i="28"/>
  <c r="P101" i="28" s="1"/>
  <c r="O43" i="33"/>
  <c r="O43" i="30"/>
  <c r="P43" i="30" s="1"/>
  <c r="O43" i="32"/>
  <c r="P43" i="32" s="1"/>
  <c r="O43" i="29"/>
  <c r="P43" i="29" s="1"/>
  <c r="O43" i="31"/>
  <c r="P43" i="31" s="1"/>
  <c r="O43" i="28"/>
  <c r="P43" i="28" s="1"/>
  <c r="I43" i="26"/>
  <c r="J43" i="26" s="1"/>
  <c r="O43" i="27"/>
  <c r="P43" i="27" s="1"/>
  <c r="O103" i="33"/>
  <c r="O103" i="31"/>
  <c r="O103" i="29"/>
  <c r="O103" i="28"/>
  <c r="O103" i="32"/>
  <c r="O103" i="27"/>
  <c r="I103" i="26"/>
  <c r="J103" i="26" s="1"/>
  <c r="O103" i="30"/>
  <c r="O57" i="33"/>
  <c r="O57" i="30"/>
  <c r="P57" i="30" s="1"/>
  <c r="O57" i="29"/>
  <c r="P57" i="29" s="1"/>
  <c r="O57" i="32"/>
  <c r="P57" i="32" s="1"/>
  <c r="O57" i="31"/>
  <c r="P57" i="31" s="1"/>
  <c r="O57" i="27"/>
  <c r="P57" i="27" s="1"/>
  <c r="I57" i="26"/>
  <c r="J57" i="26" s="1"/>
  <c r="O57" i="28"/>
  <c r="P57" i="28" s="1"/>
  <c r="O59" i="33"/>
  <c r="O59" i="30"/>
  <c r="P59" i="30" s="1"/>
  <c r="O59" i="29"/>
  <c r="P59" i="29" s="1"/>
  <c r="O59" i="32"/>
  <c r="P59" i="32" s="1"/>
  <c r="O59" i="31"/>
  <c r="P59" i="31" s="1"/>
  <c r="O59" i="28"/>
  <c r="P59" i="28" s="1"/>
  <c r="I59" i="26"/>
  <c r="J59" i="26" s="1"/>
  <c r="O59" i="27"/>
  <c r="P59" i="27" s="1"/>
  <c r="P110" i="31"/>
  <c r="M110" i="31" s="1"/>
  <c r="K110" i="31"/>
  <c r="P39" i="31"/>
  <c r="M39" i="31" s="1"/>
  <c r="M121" i="31" s="1"/>
  <c r="K39" i="31"/>
  <c r="K121" i="31" s="1"/>
  <c r="K77" i="28"/>
  <c r="K158" i="28" s="1"/>
  <c r="P77" i="28"/>
  <c r="M77" i="28" s="1"/>
  <c r="M158" i="28" s="1"/>
  <c r="P77" i="32"/>
  <c r="M77" i="32" s="1"/>
  <c r="M158" i="32" s="1"/>
  <c r="K77" i="32"/>
  <c r="K158" i="32" s="1"/>
  <c r="P74" i="33"/>
  <c r="M74" i="33" s="1"/>
  <c r="M155" i="33" s="1"/>
  <c r="K74" i="33"/>
  <c r="K155" i="33" s="1"/>
  <c r="P73" i="31"/>
  <c r="M73" i="31" s="1"/>
  <c r="M153" i="31" s="1"/>
  <c r="K73" i="31"/>
  <c r="K153" i="31" s="1"/>
  <c r="K78" i="30"/>
  <c r="K159" i="30" s="1"/>
  <c r="P78" i="30"/>
  <c r="M78" i="30" s="1"/>
  <c r="M159" i="30" s="1"/>
  <c r="P79" i="33"/>
  <c r="M79" i="33" s="1"/>
  <c r="M160" i="33" s="1"/>
  <c r="K79" i="33"/>
  <c r="K160" i="33" s="1"/>
  <c r="P104" i="33"/>
  <c r="M104" i="33" s="1"/>
  <c r="K104" i="33"/>
  <c r="O55" i="32"/>
  <c r="P55" i="32" s="1"/>
  <c r="O55" i="33"/>
  <c r="O55" i="30"/>
  <c r="P55" i="30" s="1"/>
  <c r="O55" i="29"/>
  <c r="P55" i="29" s="1"/>
  <c r="I55" i="26"/>
  <c r="J55" i="26" s="1"/>
  <c r="O55" i="28"/>
  <c r="P55" i="28" s="1"/>
  <c r="O55" i="27"/>
  <c r="P55" i="27" s="1"/>
  <c r="O55" i="31"/>
  <c r="P55" i="31" s="1"/>
  <c r="O44" i="31"/>
  <c r="P44" i="31" s="1"/>
  <c r="O44" i="30"/>
  <c r="P44" i="30" s="1"/>
  <c r="O44" i="33"/>
  <c r="O44" i="28"/>
  <c r="P44" i="28" s="1"/>
  <c r="O44" i="32"/>
  <c r="P44" i="32" s="1"/>
  <c r="O44" i="29"/>
  <c r="P44" i="29" s="1"/>
  <c r="O44" i="27"/>
  <c r="P44" i="27" s="1"/>
  <c r="I44" i="26"/>
  <c r="J44" i="26" s="1"/>
  <c r="O38" i="31"/>
  <c r="P38" i="31" s="1"/>
  <c r="O38" i="32"/>
  <c r="P38" i="32" s="1"/>
  <c r="O38" i="28"/>
  <c r="P38" i="28" s="1"/>
  <c r="O38" i="29"/>
  <c r="P38" i="29" s="1"/>
  <c r="O38" i="30"/>
  <c r="P38" i="30" s="1"/>
  <c r="O38" i="27"/>
  <c r="P38" i="27" s="1"/>
  <c r="O38" i="33"/>
  <c r="I38" i="26"/>
  <c r="J38" i="26" s="1"/>
  <c r="P109" i="27"/>
  <c r="M109" i="27" s="1"/>
  <c r="K109" i="27"/>
  <c r="P39" i="27"/>
  <c r="M39" i="27" s="1"/>
  <c r="M121" i="27" s="1"/>
  <c r="K39" i="27"/>
  <c r="K121" i="27" s="1"/>
  <c r="O18" i="32"/>
  <c r="P18" i="32" s="1"/>
  <c r="O18" i="31"/>
  <c r="P18" i="31" s="1"/>
  <c r="O18" i="30"/>
  <c r="P18" i="30" s="1"/>
  <c r="O18" i="28"/>
  <c r="P18" i="28" s="1"/>
  <c r="O18" i="29"/>
  <c r="P18" i="29" s="1"/>
  <c r="O18" i="33"/>
  <c r="P18" i="33" s="1"/>
  <c r="O18" i="27"/>
  <c r="P18" i="27" s="1"/>
  <c r="I18" i="26"/>
  <c r="J18" i="26" s="1"/>
  <c r="O47" i="32"/>
  <c r="P47" i="32" s="1"/>
  <c r="O47" i="33"/>
  <c r="O47" i="30"/>
  <c r="P47" i="30" s="1"/>
  <c r="O47" i="29"/>
  <c r="P47" i="29" s="1"/>
  <c r="I47" i="26"/>
  <c r="J47" i="26" s="1"/>
  <c r="O47" i="31"/>
  <c r="P47" i="31" s="1"/>
  <c r="O47" i="28"/>
  <c r="P47" i="28" s="1"/>
  <c r="O47" i="27"/>
  <c r="P47" i="27" s="1"/>
  <c r="O49" i="33"/>
  <c r="O49" i="30"/>
  <c r="P49" i="30" s="1"/>
  <c r="O49" i="32"/>
  <c r="P49" i="32" s="1"/>
  <c r="O49" i="29"/>
  <c r="P49" i="29" s="1"/>
  <c r="O49" i="31"/>
  <c r="P49" i="31" s="1"/>
  <c r="O49" i="27"/>
  <c r="P49" i="27" s="1"/>
  <c r="I49" i="26"/>
  <c r="J49" i="26" s="1"/>
  <c r="O49" i="28"/>
  <c r="P49" i="28" s="1"/>
  <c r="O51" i="32"/>
  <c r="P51" i="32" s="1"/>
  <c r="O51" i="33"/>
  <c r="O51" i="30"/>
  <c r="P51" i="30" s="1"/>
  <c r="O51" i="29"/>
  <c r="P51" i="29" s="1"/>
  <c r="O51" i="28"/>
  <c r="P51" i="28" s="1"/>
  <c r="I51" i="26"/>
  <c r="J51" i="26" s="1"/>
  <c r="O51" i="31"/>
  <c r="P51" i="31" s="1"/>
  <c r="O51" i="27"/>
  <c r="P51" i="27" s="1"/>
  <c r="O40" i="32"/>
  <c r="P40" i="32" s="1"/>
  <c r="O40" i="31"/>
  <c r="P40" i="31" s="1"/>
  <c r="O40" i="33"/>
  <c r="O40" i="30"/>
  <c r="P40" i="30" s="1"/>
  <c r="O40" i="28"/>
  <c r="P40" i="28" s="1"/>
  <c r="O40" i="29"/>
  <c r="P40" i="29" s="1"/>
  <c r="O40" i="27"/>
  <c r="P40" i="27" s="1"/>
  <c r="I40" i="26"/>
  <c r="J40" i="26" s="1"/>
  <c r="O37" i="33"/>
  <c r="O37" i="30"/>
  <c r="P37" i="30" s="1"/>
  <c r="O37" i="31"/>
  <c r="P37" i="31" s="1"/>
  <c r="O37" i="29"/>
  <c r="P37" i="29" s="1"/>
  <c r="O37" i="27"/>
  <c r="P37" i="27" s="1"/>
  <c r="O37" i="32"/>
  <c r="P37" i="32" s="1"/>
  <c r="O37" i="28"/>
  <c r="P37" i="28" s="1"/>
  <c r="I37" i="26"/>
  <c r="J37" i="26" s="1"/>
  <c r="O54" i="31"/>
  <c r="P54" i="31" s="1"/>
  <c r="O54" i="32"/>
  <c r="P54" i="32" s="1"/>
  <c r="O54" i="28"/>
  <c r="P54" i="28" s="1"/>
  <c r="O54" i="29"/>
  <c r="P54" i="29" s="1"/>
  <c r="O54" i="30"/>
  <c r="P54" i="30" s="1"/>
  <c r="O54" i="27"/>
  <c r="P54" i="27" s="1"/>
  <c r="O54" i="33"/>
  <c r="I54" i="26"/>
  <c r="J54" i="26" s="1"/>
  <c r="O96" i="31"/>
  <c r="P96" i="31" s="1"/>
  <c r="O96" i="32"/>
  <c r="P96" i="32" s="1"/>
  <c r="O96" i="30"/>
  <c r="P96" i="30" s="1"/>
  <c r="O96" i="33"/>
  <c r="P96" i="33" s="1"/>
  <c r="O96" i="29"/>
  <c r="P96" i="29" s="1"/>
  <c r="O96" i="27"/>
  <c r="P96" i="27" s="1"/>
  <c r="O96" i="28"/>
  <c r="P96" i="28" s="1"/>
  <c r="I96" i="26"/>
  <c r="J96" i="26" s="1"/>
  <c r="P109" i="28"/>
  <c r="M109" i="28" s="1"/>
  <c r="K109" i="28"/>
  <c r="P109" i="31"/>
  <c r="M109" i="31" s="1"/>
  <c r="K109" i="31"/>
  <c r="K75" i="30"/>
  <c r="K156" i="30" s="1"/>
  <c r="P75" i="30"/>
  <c r="M75" i="30" s="1"/>
  <c r="M156" i="30" s="1"/>
  <c r="P75" i="32"/>
  <c r="M75" i="32" s="1"/>
  <c r="M156" i="32" s="1"/>
  <c r="K75" i="32"/>
  <c r="K156" i="32" s="1"/>
  <c r="P110" i="33"/>
  <c r="M110" i="33" s="1"/>
  <c r="K110" i="33"/>
  <c r="H121" i="33"/>
  <c r="P39" i="33"/>
  <c r="K39" i="33"/>
  <c r="P112" i="31"/>
  <c r="M112" i="31" s="1"/>
  <c r="K112" i="31"/>
  <c r="K77" i="29"/>
  <c r="K158" i="29" s="1"/>
  <c r="P77" i="29"/>
  <c r="M77" i="29" s="1"/>
  <c r="M158" i="29" s="1"/>
  <c r="K77" i="31"/>
  <c r="K158" i="31" s="1"/>
  <c r="P77" i="31"/>
  <c r="M77" i="31" s="1"/>
  <c r="M158" i="31" s="1"/>
  <c r="P74" i="27"/>
  <c r="M74" i="27" s="1"/>
  <c r="K74" i="27"/>
  <c r="P74" i="30"/>
  <c r="M74" i="30" s="1"/>
  <c r="M155" i="30" s="1"/>
  <c r="K74" i="30"/>
  <c r="K155" i="30" s="1"/>
  <c r="P73" i="27"/>
  <c r="M73" i="27" s="1"/>
  <c r="M153" i="27" s="1"/>
  <c r="K73" i="27"/>
  <c r="K153" i="27" s="1"/>
  <c r="P73" i="33"/>
  <c r="M73" i="33" s="1"/>
  <c r="M153" i="33" s="1"/>
  <c r="K73" i="33"/>
  <c r="K153" i="33" s="1"/>
  <c r="K78" i="28"/>
  <c r="K159" i="28" s="1"/>
  <c r="P78" i="28"/>
  <c r="M78" i="28" s="1"/>
  <c r="M159" i="28" s="1"/>
  <c r="K78" i="31"/>
  <c r="K159" i="31" s="1"/>
  <c r="P78" i="31"/>
  <c r="M78" i="31" s="1"/>
  <c r="M159" i="31" s="1"/>
  <c r="P79" i="29"/>
  <c r="M79" i="29" s="1"/>
  <c r="M160" i="29" s="1"/>
  <c r="K79" i="29"/>
  <c r="K160" i="29" s="1"/>
  <c r="K104" i="30"/>
  <c r="P104" i="30"/>
  <c r="M104" i="30" s="1"/>
  <c r="P76" i="30"/>
  <c r="M76" i="30" s="1"/>
  <c r="M157" i="30" s="1"/>
  <c r="K76" i="30"/>
  <c r="K157" i="30" s="1"/>
  <c r="P76" i="33"/>
  <c r="M76" i="33" s="1"/>
  <c r="M157" i="33" s="1"/>
  <c r="K76" i="33"/>
  <c r="K157" i="33" s="1"/>
  <c r="K76" i="27"/>
  <c r="K157" i="27" s="1"/>
  <c r="P76" i="27"/>
  <c r="M76" i="27" s="1"/>
  <c r="M157" i="27" s="1"/>
  <c r="K76" i="31"/>
  <c r="K157" i="31" s="1"/>
  <c r="P76" i="31"/>
  <c r="M76" i="31" s="1"/>
  <c r="M157" i="31" s="1"/>
  <c r="P76" i="28"/>
  <c r="M76" i="28" s="1"/>
  <c r="M157" i="28" s="1"/>
  <c r="K76" i="28"/>
  <c r="K157" i="28" s="1"/>
  <c r="P76" i="32"/>
  <c r="M76" i="32" s="1"/>
  <c r="M157" i="32" s="1"/>
  <c r="K76" i="32"/>
  <c r="K157" i="32" s="1"/>
  <c r="P76" i="29"/>
  <c r="M76" i="29" s="1"/>
  <c r="M157" i="29" s="1"/>
  <c r="K76" i="29"/>
  <c r="K157" i="29" s="1"/>
  <c r="P170" i="30"/>
  <c r="A4" i="23"/>
  <c r="A3" i="23"/>
  <c r="H68" i="14"/>
  <c r="H67" i="14"/>
  <c r="H66" i="14"/>
  <c r="H65" i="14"/>
  <c r="H64" i="14"/>
  <c r="H63" i="14"/>
  <c r="H62" i="14"/>
  <c r="H61" i="14"/>
  <c r="H60" i="14"/>
  <c r="H59" i="14"/>
  <c r="H58" i="14"/>
  <c r="H57" i="14"/>
  <c r="G54" i="14"/>
  <c r="H51" i="14"/>
  <c r="H50" i="14"/>
  <c r="H49" i="14"/>
  <c r="H48" i="14"/>
  <c r="H47" i="14"/>
  <c r="H46" i="14"/>
  <c r="H45" i="14"/>
  <c r="H44" i="14"/>
  <c r="H42" i="14"/>
  <c r="H41" i="14"/>
  <c r="H40" i="14"/>
  <c r="H39" i="14"/>
  <c r="H38" i="14"/>
  <c r="H37" i="14"/>
  <c r="H36" i="14"/>
  <c r="H35" i="14"/>
  <c r="H34" i="14"/>
  <c r="H33" i="14"/>
  <c r="H32" i="14"/>
  <c r="H27" i="14"/>
  <c r="H24" i="14"/>
  <c r="H23" i="14"/>
  <c r="H15" i="14"/>
  <c r="H14" i="14"/>
  <c r="H13" i="14"/>
  <c r="H129" i="33" l="1"/>
  <c r="P47" i="33"/>
  <c r="I129" i="33" s="1"/>
  <c r="P106" i="27"/>
  <c r="M106" i="27" s="1"/>
  <c r="K106" i="27"/>
  <c r="P36" i="27"/>
  <c r="M36" i="27" s="1"/>
  <c r="M118" i="27" s="1"/>
  <c r="K36" i="27"/>
  <c r="K118" i="27" s="1"/>
  <c r="P35" i="27"/>
  <c r="M35" i="27" s="1"/>
  <c r="M117" i="27" s="1"/>
  <c r="K34" i="27"/>
  <c r="P35" i="29"/>
  <c r="M35" i="29" s="1"/>
  <c r="M117" i="29" s="1"/>
  <c r="K34" i="29"/>
  <c r="H140" i="33"/>
  <c r="P58" i="33"/>
  <c r="I140" i="33" s="1"/>
  <c r="M154" i="27"/>
  <c r="M155" i="27"/>
  <c r="I121" i="33"/>
  <c r="M39" i="33"/>
  <c r="H126" i="33"/>
  <c r="P44" i="33"/>
  <c r="I126" i="33" s="1"/>
  <c r="H141" i="33"/>
  <c r="P59" i="33"/>
  <c r="I141" i="33" s="1"/>
  <c r="H139" i="33"/>
  <c r="P57" i="33"/>
  <c r="I139" i="33" s="1"/>
  <c r="P103" i="33"/>
  <c r="M103" i="33" s="1"/>
  <c r="K103" i="33"/>
  <c r="H125" i="33"/>
  <c r="P43" i="33"/>
  <c r="I125" i="33" s="1"/>
  <c r="P106" i="33"/>
  <c r="M106" i="33" s="1"/>
  <c r="K106" i="33"/>
  <c r="P36" i="29"/>
  <c r="M36" i="29" s="1"/>
  <c r="M118" i="29" s="1"/>
  <c r="K36" i="29"/>
  <c r="K118" i="29" s="1"/>
  <c r="P36" i="31"/>
  <c r="M36" i="31" s="1"/>
  <c r="M118" i="31" s="1"/>
  <c r="K36" i="31"/>
  <c r="K118" i="31" s="1"/>
  <c r="H138" i="33"/>
  <c r="P56" i="33"/>
  <c r="I138" i="33" s="1"/>
  <c r="P35" i="31"/>
  <c r="M35" i="31" s="1"/>
  <c r="M117" i="31" s="1"/>
  <c r="K34" i="31"/>
  <c r="P35" i="32"/>
  <c r="M35" i="32" s="1"/>
  <c r="M117" i="32" s="1"/>
  <c r="K34" i="32"/>
  <c r="P105" i="29"/>
  <c r="M105" i="29" s="1"/>
  <c r="K105" i="29"/>
  <c r="H136" i="33"/>
  <c r="P54" i="33"/>
  <c r="I136" i="33" s="1"/>
  <c r="H137" i="33"/>
  <c r="P55" i="33"/>
  <c r="I137" i="33" s="1"/>
  <c r="K103" i="30"/>
  <c r="P103" i="30"/>
  <c r="M103" i="30" s="1"/>
  <c r="P103" i="28"/>
  <c r="M103" i="28" s="1"/>
  <c r="K103" i="28"/>
  <c r="K106" i="29"/>
  <c r="P106" i="29"/>
  <c r="M106" i="29" s="1"/>
  <c r="P106" i="31"/>
  <c r="M106" i="31" s="1"/>
  <c r="K106" i="31"/>
  <c r="H135" i="33"/>
  <c r="P53" i="33"/>
  <c r="I135" i="33" s="1"/>
  <c r="H143" i="33"/>
  <c r="P61" i="33"/>
  <c r="I143" i="33" s="1"/>
  <c r="P36" i="28"/>
  <c r="M36" i="28" s="1"/>
  <c r="M118" i="28" s="1"/>
  <c r="K36" i="28"/>
  <c r="K118" i="28" s="1"/>
  <c r="P36" i="32"/>
  <c r="M36" i="32" s="1"/>
  <c r="M118" i="32" s="1"/>
  <c r="K36" i="32"/>
  <c r="K118" i="32" s="1"/>
  <c r="P35" i="30"/>
  <c r="M35" i="30" s="1"/>
  <c r="M117" i="30" s="1"/>
  <c r="K34" i="30"/>
  <c r="H130" i="33"/>
  <c r="P48" i="33"/>
  <c r="I130" i="33" s="1"/>
  <c r="H123" i="33"/>
  <c r="P41" i="33"/>
  <c r="I123" i="33" s="1"/>
  <c r="H127" i="33"/>
  <c r="P45" i="33"/>
  <c r="I127" i="33" s="1"/>
  <c r="P105" i="27"/>
  <c r="M105" i="27" s="1"/>
  <c r="K105" i="27"/>
  <c r="P105" i="33"/>
  <c r="M105" i="33" s="1"/>
  <c r="K105" i="33"/>
  <c r="H132" i="33"/>
  <c r="P50" i="33"/>
  <c r="I132" i="33" s="1"/>
  <c r="K154" i="27"/>
  <c r="K155" i="27"/>
  <c r="H119" i="33"/>
  <c r="P37" i="33"/>
  <c r="I119" i="33" s="1"/>
  <c r="H133" i="33"/>
  <c r="P51" i="33"/>
  <c r="I133" i="33" s="1"/>
  <c r="H120" i="33"/>
  <c r="P38" i="33"/>
  <c r="I120" i="33" s="1"/>
  <c r="P103" i="27"/>
  <c r="M103" i="27" s="1"/>
  <c r="K103" i="27"/>
  <c r="K103" i="31"/>
  <c r="P103" i="31"/>
  <c r="M103" i="31" s="1"/>
  <c r="P106" i="32"/>
  <c r="M106" i="32" s="1"/>
  <c r="K106" i="32"/>
  <c r="P36" i="30"/>
  <c r="M36" i="30" s="1"/>
  <c r="M118" i="30" s="1"/>
  <c r="K36" i="30"/>
  <c r="K118" i="30" s="1"/>
  <c r="H124" i="33"/>
  <c r="P42" i="33"/>
  <c r="I124" i="33" s="1"/>
  <c r="K105" i="31"/>
  <c r="P105" i="31"/>
  <c r="M105" i="31" s="1"/>
  <c r="K105" i="32"/>
  <c r="P105" i="32"/>
  <c r="M105" i="32" s="1"/>
  <c r="H131" i="33"/>
  <c r="P49" i="33"/>
  <c r="I131" i="33" s="1"/>
  <c r="K103" i="32"/>
  <c r="P103" i="32"/>
  <c r="M103" i="32" s="1"/>
  <c r="P106" i="30"/>
  <c r="M106" i="30" s="1"/>
  <c r="K106" i="30"/>
  <c r="H122" i="33"/>
  <c r="P40" i="33"/>
  <c r="I122" i="33" s="1"/>
  <c r="K103" i="29"/>
  <c r="P103" i="29"/>
  <c r="M103" i="29" s="1"/>
  <c r="P106" i="28"/>
  <c r="M106" i="28" s="1"/>
  <c r="K106" i="28"/>
  <c r="H118" i="33"/>
  <c r="P36" i="33"/>
  <c r="K36" i="33"/>
  <c r="P35" i="28"/>
  <c r="M35" i="28" s="1"/>
  <c r="M117" i="28" s="1"/>
  <c r="K34" i="28"/>
  <c r="H117" i="33"/>
  <c r="P35" i="33"/>
  <c r="K34" i="33"/>
  <c r="K105" i="28"/>
  <c r="P105" i="28"/>
  <c r="M105" i="28" s="1"/>
  <c r="K105" i="30"/>
  <c r="P105" i="30"/>
  <c r="M105" i="30" s="1"/>
  <c r="H142" i="33"/>
  <c r="P60" i="33"/>
  <c r="I142" i="33" s="1"/>
  <c r="P173" i="30"/>
  <c r="H30" i="14"/>
  <c r="O22" i="33" l="1"/>
  <c r="P22" i="33" s="1"/>
  <c r="O22" i="29"/>
  <c r="P22" i="29" s="1"/>
  <c r="O22" i="32"/>
  <c r="P22" i="32" s="1"/>
  <c r="O22" i="31"/>
  <c r="P22" i="31" s="1"/>
  <c r="O22" i="27"/>
  <c r="P22" i="27" s="1"/>
  <c r="O22" i="30"/>
  <c r="P22" i="30" s="1"/>
  <c r="I22" i="26"/>
  <c r="J22" i="26" s="1"/>
  <c r="O22" i="28"/>
  <c r="P22" i="28" s="1"/>
  <c r="O27" i="33"/>
  <c r="O27" i="31"/>
  <c r="O27" i="29"/>
  <c r="O27" i="30"/>
  <c r="O27" i="27"/>
  <c r="O27" i="28"/>
  <c r="P27" i="28" s="1"/>
  <c r="M27" i="28" s="1"/>
  <c r="I27" i="26"/>
  <c r="J27" i="26" s="1"/>
  <c r="O27" i="32"/>
  <c r="O31" i="32"/>
  <c r="P31" i="32" s="1"/>
  <c r="O31" i="31"/>
  <c r="P31" i="31" s="1"/>
  <c r="O31" i="33"/>
  <c r="P31" i="33" s="1"/>
  <c r="O31" i="30"/>
  <c r="P31" i="30" s="1"/>
  <c r="O31" i="28"/>
  <c r="P31" i="28" s="1"/>
  <c r="O31" i="29"/>
  <c r="P31" i="29" s="1"/>
  <c r="O31" i="27"/>
  <c r="P31" i="27" s="1"/>
  <c r="I31" i="26"/>
  <c r="J31" i="26" s="1"/>
  <c r="O14" i="30"/>
  <c r="O14" i="31"/>
  <c r="O14" i="33"/>
  <c r="O14" i="28"/>
  <c r="O14" i="27"/>
  <c r="O14" i="32"/>
  <c r="O14" i="29"/>
  <c r="I14" i="26"/>
  <c r="J14" i="26" s="1"/>
  <c r="O21" i="30"/>
  <c r="P21" i="30" s="1"/>
  <c r="O21" i="32"/>
  <c r="P21" i="32" s="1"/>
  <c r="O21" i="31"/>
  <c r="P21" i="31" s="1"/>
  <c r="O21" i="33"/>
  <c r="P21" i="33" s="1"/>
  <c r="O21" i="28"/>
  <c r="P21" i="28" s="1"/>
  <c r="O21" i="27"/>
  <c r="P21" i="27" s="1"/>
  <c r="O21" i="29"/>
  <c r="P21" i="29" s="1"/>
  <c r="I21" i="26"/>
  <c r="J21" i="26" s="1"/>
  <c r="I117" i="33"/>
  <c r="M35" i="33"/>
  <c r="O30" i="33"/>
  <c r="P30" i="33" s="1"/>
  <c r="O30" i="30"/>
  <c r="P30" i="30" s="1"/>
  <c r="O30" i="32"/>
  <c r="P30" i="32" s="1"/>
  <c r="O30" i="29"/>
  <c r="P30" i="29" s="1"/>
  <c r="I30" i="26"/>
  <c r="J30" i="26" s="1"/>
  <c r="O30" i="31"/>
  <c r="P30" i="31" s="1"/>
  <c r="O30" i="28"/>
  <c r="P30" i="28" s="1"/>
  <c r="O30" i="27"/>
  <c r="P30" i="27" s="1"/>
  <c r="O13" i="32"/>
  <c r="O13" i="33"/>
  <c r="O13" i="30"/>
  <c r="O13" i="29"/>
  <c r="O13" i="28"/>
  <c r="O13" i="27"/>
  <c r="I13" i="26"/>
  <c r="J13" i="26" s="1"/>
  <c r="O13" i="31"/>
  <c r="I118" i="33"/>
  <c r="M36" i="33"/>
  <c r="O24" i="33"/>
  <c r="P24" i="33" s="1"/>
  <c r="O24" i="30"/>
  <c r="P24" i="30" s="1"/>
  <c r="O24" i="29"/>
  <c r="P24" i="29" s="1"/>
  <c r="O24" i="32"/>
  <c r="P24" i="32" s="1"/>
  <c r="O24" i="31"/>
  <c r="P24" i="31" s="1"/>
  <c r="O24" i="28"/>
  <c r="P24" i="28" s="1"/>
  <c r="I24" i="26"/>
  <c r="J24" i="26" s="1"/>
  <c r="O24" i="27"/>
  <c r="P24" i="27" s="1"/>
  <c r="O20" i="33"/>
  <c r="P20" i="33" s="1"/>
  <c r="O20" i="30"/>
  <c r="P20" i="30" s="1"/>
  <c r="O20" i="29"/>
  <c r="P20" i="29" s="1"/>
  <c r="I20" i="26"/>
  <c r="J20" i="26" s="1"/>
  <c r="O20" i="28"/>
  <c r="P20" i="28" s="1"/>
  <c r="O20" i="32"/>
  <c r="P20" i="32" s="1"/>
  <c r="O20" i="31"/>
  <c r="P20" i="31" s="1"/>
  <c r="O20" i="27"/>
  <c r="P20" i="27" s="1"/>
  <c r="O32" i="33"/>
  <c r="P32" i="33" s="1"/>
  <c r="O32" i="30"/>
  <c r="P32" i="30" s="1"/>
  <c r="O32" i="29"/>
  <c r="P32" i="29" s="1"/>
  <c r="O32" i="31"/>
  <c r="P32" i="31" s="1"/>
  <c r="O32" i="32"/>
  <c r="P32" i="32" s="1"/>
  <c r="O32" i="27"/>
  <c r="P32" i="27" s="1"/>
  <c r="I32" i="26"/>
  <c r="J32" i="26" s="1"/>
  <c r="O32" i="28"/>
  <c r="P32" i="28" s="1"/>
  <c r="O12" i="31"/>
  <c r="O12" i="30"/>
  <c r="O12" i="32"/>
  <c r="O12" i="28"/>
  <c r="O12" i="33"/>
  <c r="O12" i="29"/>
  <c r="O12" i="27"/>
  <c r="I12" i="26"/>
  <c r="J12" i="26" s="1"/>
  <c r="P175" i="30"/>
  <c r="P14" i="28" l="1"/>
  <c r="M14" i="28" s="1"/>
  <c r="K14" i="28"/>
  <c r="K26" i="32"/>
  <c r="P27" i="32"/>
  <c r="M27" i="32" s="1"/>
  <c r="K26" i="30"/>
  <c r="P27" i="30"/>
  <c r="M27" i="30" s="1"/>
  <c r="O29" i="31"/>
  <c r="O29" i="32"/>
  <c r="O29" i="28"/>
  <c r="O29" i="33"/>
  <c r="O29" i="29"/>
  <c r="O29" i="27"/>
  <c r="O29" i="30"/>
  <c r="I29" i="26"/>
  <c r="J29" i="26" s="1"/>
  <c r="K12" i="32"/>
  <c r="P12" i="32"/>
  <c r="M12" i="32" s="1"/>
  <c r="K13" i="28"/>
  <c r="P13" i="28"/>
  <c r="M13" i="28" s="1"/>
  <c r="P13" i="32"/>
  <c r="M13" i="32" s="1"/>
  <c r="K13" i="32"/>
  <c r="K14" i="29"/>
  <c r="P14" i="29"/>
  <c r="M14" i="29" s="1"/>
  <c r="P14" i="33"/>
  <c r="M14" i="33" s="1"/>
  <c r="K14" i="33"/>
  <c r="P27" i="29"/>
  <c r="M27" i="29" s="1"/>
  <c r="K26" i="29"/>
  <c r="O11" i="31"/>
  <c r="O11" i="33"/>
  <c r="O11" i="30"/>
  <c r="O11" i="32"/>
  <c r="O11" i="28"/>
  <c r="O11" i="27"/>
  <c r="I11" i="26"/>
  <c r="J11" i="26" s="1"/>
  <c r="O11" i="29"/>
  <c r="P12" i="29"/>
  <c r="M12" i="29" s="1"/>
  <c r="K12" i="29"/>
  <c r="K12" i="30"/>
  <c r="P12" i="30"/>
  <c r="M12" i="30" s="1"/>
  <c r="K13" i="31"/>
  <c r="P13" i="31"/>
  <c r="M13" i="31" s="1"/>
  <c r="K13" i="29"/>
  <c r="P13" i="29"/>
  <c r="M13" i="29" s="1"/>
  <c r="K14" i="32"/>
  <c r="P14" i="32"/>
  <c r="M14" i="32" s="1"/>
  <c r="P14" i="31"/>
  <c r="M14" i="31" s="1"/>
  <c r="K14" i="31"/>
  <c r="K26" i="31"/>
  <c r="P27" i="31"/>
  <c r="M27" i="31" s="1"/>
  <c r="O33" i="31"/>
  <c r="P33" i="31" s="1"/>
  <c r="O33" i="32"/>
  <c r="P33" i="32" s="1"/>
  <c r="O33" i="28"/>
  <c r="P33" i="28" s="1"/>
  <c r="O33" i="30"/>
  <c r="P33" i="30" s="1"/>
  <c r="O33" i="33"/>
  <c r="P33" i="33" s="1"/>
  <c r="O33" i="27"/>
  <c r="P33" i="27" s="1"/>
  <c r="O33" i="29"/>
  <c r="P33" i="29" s="1"/>
  <c r="I33" i="26"/>
  <c r="J33" i="26" s="1"/>
  <c r="K12" i="28"/>
  <c r="P12" i="28"/>
  <c r="M12" i="28" s="1"/>
  <c r="P13" i="27"/>
  <c r="M13" i="27" s="1"/>
  <c r="K13" i="27"/>
  <c r="P13" i="33"/>
  <c r="M13" i="33" s="1"/>
  <c r="K13" i="33"/>
  <c r="P12" i="27"/>
  <c r="M12" i="27" s="1"/>
  <c r="K12" i="27"/>
  <c r="O23" i="32"/>
  <c r="P23" i="32" s="1"/>
  <c r="O23" i="31"/>
  <c r="P23" i="31" s="1"/>
  <c r="O23" i="30"/>
  <c r="P23" i="30" s="1"/>
  <c r="O23" i="28"/>
  <c r="P23" i="28" s="1"/>
  <c r="O23" i="27"/>
  <c r="P23" i="27" s="1"/>
  <c r="O23" i="29"/>
  <c r="P23" i="29" s="1"/>
  <c r="O23" i="33"/>
  <c r="P23" i="33" s="1"/>
  <c r="I23" i="26"/>
  <c r="J23" i="26" s="1"/>
  <c r="K12" i="33"/>
  <c r="P12" i="33"/>
  <c r="M12" i="33" s="1"/>
  <c r="P12" i="31"/>
  <c r="M12" i="31" s="1"/>
  <c r="K12" i="31"/>
  <c r="K13" i="30"/>
  <c r="P13" i="30"/>
  <c r="M13" i="30" s="1"/>
  <c r="K14" i="27"/>
  <c r="P14" i="27"/>
  <c r="M14" i="27" s="1"/>
  <c r="K14" i="30"/>
  <c r="P14" i="30"/>
  <c r="M14" i="30" s="1"/>
  <c r="P27" i="27"/>
  <c r="M27" i="27" s="1"/>
  <c r="K26" i="27"/>
  <c r="P27" i="33"/>
  <c r="M27" i="33" s="1"/>
  <c r="K26" i="33"/>
  <c r="P178" i="30"/>
  <c r="K11" i="27" l="1"/>
  <c r="P11" i="27"/>
  <c r="K29" i="27"/>
  <c r="P29" i="27"/>
  <c r="M29" i="27" s="1"/>
  <c r="P11" i="28"/>
  <c r="K11" i="28"/>
  <c r="K11" i="31"/>
  <c r="P11" i="31"/>
  <c r="P29" i="29"/>
  <c r="M29" i="29" s="1"/>
  <c r="K29" i="29"/>
  <c r="K29" i="31"/>
  <c r="P29" i="31"/>
  <c r="M29" i="31" s="1"/>
  <c r="K11" i="29"/>
  <c r="P11" i="29"/>
  <c r="P11" i="32"/>
  <c r="K11" i="32"/>
  <c r="K29" i="33"/>
  <c r="P29" i="33"/>
  <c r="M29" i="33" s="1"/>
  <c r="P11" i="33"/>
  <c r="M11" i="33" s="1"/>
  <c r="K11" i="33"/>
  <c r="K29" i="32"/>
  <c r="P29" i="32"/>
  <c r="M29" i="32" s="1"/>
  <c r="I163" i="26"/>
  <c r="I165" i="26" s="1"/>
  <c r="I166" i="26" s="1"/>
  <c r="K11" i="30"/>
  <c r="P11" i="30"/>
  <c r="P29" i="30"/>
  <c r="M29" i="30" s="1"/>
  <c r="K29" i="30"/>
  <c r="P29" i="28"/>
  <c r="M29" i="28" s="1"/>
  <c r="K29" i="28"/>
  <c r="P180" i="30"/>
  <c r="M11" i="30" l="1"/>
  <c r="P116" i="30"/>
  <c r="M116" i="30" s="1"/>
  <c r="O163" i="30"/>
  <c r="O165" i="30" s="1"/>
  <c r="O166" i="30" s="1"/>
  <c r="M11" i="28"/>
  <c r="O163" i="28"/>
  <c r="O165" i="28" s="1"/>
  <c r="O166" i="28" s="1"/>
  <c r="M11" i="31"/>
  <c r="O163" i="31"/>
  <c r="O165" i="31" s="1"/>
  <c r="O166" i="31" s="1"/>
  <c r="M11" i="32"/>
  <c r="O163" i="32"/>
  <c r="O165" i="32" s="1"/>
  <c r="O166" i="32" s="1"/>
  <c r="P115" i="32"/>
  <c r="M115" i="32" s="1"/>
  <c r="M11" i="29"/>
  <c r="O163" i="29"/>
  <c r="P115" i="29"/>
  <c r="M115" i="29" s="1"/>
  <c r="M11" i="27"/>
  <c r="O163" i="27"/>
  <c r="O165" i="27" s="1"/>
  <c r="O166" i="27" s="1"/>
  <c r="P115" i="27"/>
  <c r="O165" i="29" l="1"/>
  <c r="O166" i="29" s="1"/>
  <c r="D259" i="11"/>
  <c r="D260" i="11" s="1"/>
  <c r="D261" i="11" s="1"/>
  <c r="D262" i="11" s="1"/>
  <c r="C259" i="11"/>
  <c r="C260" i="11" s="1"/>
  <c r="C261" i="11" s="1"/>
  <c r="C262" i="11" s="1"/>
  <c r="D252" i="11"/>
  <c r="D253" i="11" s="1"/>
  <c r="D254" i="11" s="1"/>
  <c r="D255" i="11" s="1"/>
  <c r="C252" i="11"/>
  <c r="C253" i="11" s="1"/>
  <c r="C254" i="11" s="1"/>
  <c r="C255" i="11" s="1"/>
  <c r="D245" i="11"/>
  <c r="D246" i="11" s="1"/>
  <c r="D247" i="11" s="1"/>
  <c r="D248" i="11" s="1"/>
  <c r="C245" i="11"/>
  <c r="C246" i="11" s="1"/>
  <c r="C247" i="11" s="1"/>
  <c r="C248" i="11" s="1"/>
  <c r="F242" i="11"/>
  <c r="F226" i="11"/>
  <c r="B223" i="11"/>
  <c r="B222" i="11"/>
  <c r="B221" i="11"/>
  <c r="B220" i="11"/>
  <c r="B219" i="11"/>
  <c r="B218" i="11"/>
  <c r="B217" i="11"/>
  <c r="B216" i="11"/>
  <c r="B215" i="11"/>
  <c r="B214" i="11"/>
  <c r="B213" i="11"/>
  <c r="B212" i="11"/>
  <c r="B211" i="11"/>
  <c r="B210" i="11"/>
  <c r="B209" i="11"/>
  <c r="B208" i="11"/>
  <c r="B207" i="11"/>
  <c r="B206" i="11"/>
  <c r="F205" i="11"/>
  <c r="B205" i="11"/>
  <c r="A205" i="11"/>
  <c r="B204" i="11"/>
  <c r="A204" i="11"/>
  <c r="F203" i="11"/>
  <c r="B203" i="11"/>
  <c r="A203" i="11"/>
  <c r="C115" i="31" l="1"/>
  <c r="C115" i="32"/>
  <c r="C115" i="28"/>
  <c r="C115" i="27"/>
  <c r="C115" i="30"/>
  <c r="C115" i="33"/>
  <c r="C115" i="29"/>
  <c r="C116" i="27"/>
  <c r="C116" i="31"/>
  <c r="C116" i="32"/>
  <c r="C116" i="28"/>
  <c r="C116" i="29"/>
  <c r="C116" i="30"/>
  <c r="C116" i="33"/>
  <c r="C26" i="29"/>
  <c r="C26" i="32"/>
  <c r="C26" i="30"/>
  <c r="C26" i="33"/>
  <c r="C26" i="28"/>
  <c r="C26" i="31"/>
  <c r="C26" i="27"/>
  <c r="C64" i="31"/>
  <c r="C64" i="27"/>
  <c r="C64" i="30"/>
  <c r="C64" i="28"/>
  <c r="C64" i="29"/>
  <c r="C64" i="32"/>
  <c r="C64" i="33"/>
  <c r="C144" i="31"/>
  <c r="C144" i="32"/>
  <c r="C144" i="27"/>
  <c r="C144" i="28"/>
  <c r="C144" i="30"/>
  <c r="C144" i="33"/>
  <c r="C144" i="29"/>
  <c r="C108" i="29"/>
  <c r="C108" i="31"/>
  <c r="C108" i="27"/>
  <c r="C108" i="30"/>
  <c r="C108" i="33"/>
  <c r="C108" i="28"/>
  <c r="C108" i="32"/>
  <c r="C34" i="27"/>
  <c r="C34" i="31"/>
  <c r="C34" i="32"/>
  <c r="C34" i="30"/>
  <c r="C34" i="33"/>
  <c r="C34" i="29"/>
  <c r="C34" i="28"/>
  <c r="C19" i="33"/>
  <c r="C19" i="28"/>
  <c r="C19" i="31"/>
  <c r="C19" i="27"/>
  <c r="C19" i="29"/>
  <c r="C19" i="32"/>
  <c r="C19" i="30"/>
  <c r="C28" i="31"/>
  <c r="C28" i="29"/>
  <c r="C28" i="32"/>
  <c r="C28" i="27"/>
  <c r="C28" i="30"/>
  <c r="C28" i="33"/>
  <c r="C28" i="28"/>
  <c r="A206" i="11"/>
  <c r="F222" i="11" l="1"/>
  <c r="F219" i="11"/>
  <c r="A207" i="11"/>
  <c r="D227" i="11"/>
  <c r="F227" i="11" s="1"/>
  <c r="F217" i="11" l="1"/>
  <c r="F212" i="11"/>
  <c r="F210" i="11"/>
  <c r="F214" i="11"/>
  <c r="F216" i="11"/>
  <c r="F213" i="11"/>
  <c r="F207" i="11"/>
  <c r="F220" i="11"/>
  <c r="F204" i="11"/>
  <c r="F209" i="11"/>
  <c r="F215" i="11"/>
  <c r="F208" i="11"/>
  <c r="F211" i="11"/>
  <c r="A208" i="11"/>
  <c r="A32" i="11"/>
  <c r="F206" i="11"/>
  <c r="F221" i="11"/>
  <c r="B30" i="25" l="1"/>
  <c r="E34" i="27"/>
  <c r="E34" i="26"/>
  <c r="E34" i="28"/>
  <c r="E34" i="29"/>
  <c r="E34" i="30" s="1"/>
  <c r="E34" i="31" s="1"/>
  <c r="E34" i="32" s="1"/>
  <c r="E34" i="33"/>
  <c r="A209" i="11"/>
  <c r="A210" i="11" l="1"/>
  <c r="A211" i="11" l="1"/>
  <c r="A212" i="11" l="1"/>
  <c r="A213" i="11" l="1"/>
  <c r="A214" i="11" l="1"/>
  <c r="A215" i="11" l="1"/>
  <c r="A216" i="11" l="1"/>
  <c r="A217" i="11" l="1"/>
  <c r="A218" i="11" l="1"/>
  <c r="A219" i="11" l="1"/>
  <c r="A220" i="11" l="1"/>
  <c r="A221" i="11" l="1"/>
  <c r="A222" i="11" l="1"/>
  <c r="A223" i="11" l="1"/>
  <c r="P72" i="33" l="1"/>
  <c r="P116" i="33" s="1"/>
  <c r="M116" i="33" s="1"/>
  <c r="P152" i="33"/>
  <c r="P164" i="33" s="1"/>
  <c r="P165" i="33" s="1"/>
  <c r="P168" i="33" l="1"/>
  <c r="P170" i="33" s="1"/>
  <c r="P173" i="33" s="1"/>
  <c r="E67" i="25"/>
  <c r="O163" i="33"/>
  <c r="O165" i="33" l="1"/>
  <c r="O166" i="33" s="1"/>
  <c r="F53" i="14"/>
  <c r="H53" i="14" s="1"/>
  <c r="P175" i="33"/>
  <c r="P178" i="33" s="1"/>
  <c r="P180" i="33" s="1"/>
  <c r="D228" i="11"/>
  <c r="F228" i="11" s="1"/>
  <c r="F223" i="11" l="1"/>
  <c r="F218" i="11"/>
  <c r="G64" i="14"/>
  <c r="G61" i="14"/>
  <c r="G38" i="14"/>
  <c r="G14" i="14"/>
  <c r="G67" i="14"/>
  <c r="G33" i="14"/>
  <c r="G50" i="14"/>
  <c r="G41" i="14"/>
  <c r="G58" i="14"/>
  <c r="F17" i="14"/>
  <c r="H17" i="14" s="1"/>
  <c r="G17" i="14" s="1"/>
  <c r="G36" i="14"/>
  <c r="G62" i="14"/>
  <c r="G40" i="14"/>
  <c r="G68" i="14"/>
  <c r="G42" i="14"/>
  <c r="G60" i="14"/>
  <c r="G47" i="14"/>
  <c r="G24" i="14"/>
  <c r="G30" i="14"/>
  <c r="G57" i="14"/>
  <c r="F55" i="14"/>
  <c r="H55" i="14" s="1"/>
  <c r="F18" i="14"/>
  <c r="H18" i="14" s="1"/>
  <c r="G18" i="14" s="1"/>
  <c r="F22" i="14"/>
  <c r="H22" i="14" s="1"/>
  <c r="G22" i="14" s="1"/>
  <c r="G65" i="14"/>
  <c r="G34" i="14"/>
  <c r="G66" i="14"/>
  <c r="G63" i="14"/>
  <c r="G59" i="14"/>
  <c r="F28" i="14"/>
  <c r="H28" i="14" s="1"/>
  <c r="G28" i="14" s="1"/>
  <c r="F20" i="14"/>
  <c r="H20" i="14" s="1"/>
  <c r="G20" i="14" s="1"/>
  <c r="G15" i="14"/>
  <c r="G48" i="14"/>
  <c r="G27" i="14"/>
  <c r="G44" i="14"/>
  <c r="G23" i="14"/>
  <c r="G39" i="14"/>
  <c r="G51" i="14"/>
  <c r="G45" i="14"/>
  <c r="G32" i="14"/>
  <c r="G46" i="14"/>
  <c r="F26" i="14"/>
  <c r="H26" i="14" s="1"/>
  <c r="G26" i="14" s="1"/>
  <c r="F21" i="14"/>
  <c r="H21" i="14" s="1"/>
  <c r="G21" i="14" s="1"/>
  <c r="G13" i="14"/>
  <c r="G49" i="14"/>
  <c r="G37" i="14"/>
  <c r="G35" i="14"/>
  <c r="F19" i="14"/>
  <c r="H19" i="14" s="1"/>
  <c r="G19" i="14" s="1"/>
  <c r="G56" i="14" l="1"/>
  <c r="F231" i="11" l="1"/>
  <c r="E244" i="11"/>
  <c r="E245" i="11" l="1"/>
  <c r="E246" i="11" s="1"/>
  <c r="E247" i="11" s="1"/>
  <c r="E248" i="11" s="1"/>
  <c r="E251" i="11"/>
  <c r="F236" i="11"/>
  <c r="F235" i="11"/>
  <c r="F233" i="11"/>
  <c r="F232" i="11"/>
  <c r="E258" i="11" l="1"/>
  <c r="E259" i="11" s="1"/>
  <c r="E260" i="11" s="1"/>
  <c r="E261" i="11" s="1"/>
  <c r="E262" i="11" s="1"/>
  <c r="E252" i="11"/>
  <c r="E253" i="11" s="1"/>
  <c r="E254" i="11" s="1"/>
  <c r="E255" i="11" s="1"/>
  <c r="F237" i="11" l="1"/>
  <c r="F234" i="11" s="1"/>
  <c r="F238" i="11" s="1"/>
  <c r="F240" i="11" s="1"/>
  <c r="G29" i="14"/>
  <c r="G11" i="14" s="1"/>
  <c r="G70" i="14" s="1"/>
  <c r="N167" i="29" s="1"/>
  <c r="K167" i="29" l="1"/>
  <c r="O167" i="29"/>
  <c r="H167" i="26"/>
  <c r="I167" i="26" s="1"/>
  <c r="N167" i="32"/>
  <c r="N167" i="27"/>
  <c r="N167" i="30"/>
  <c r="N167" i="28"/>
  <c r="N167" i="31"/>
  <c r="N167" i="33"/>
  <c r="O167" i="31" l="1"/>
  <c r="K167" i="31"/>
  <c r="O167" i="32"/>
  <c r="K167" i="32"/>
  <c r="K167" i="28"/>
  <c r="O167" i="28"/>
  <c r="I170" i="26"/>
  <c r="I169" i="26"/>
  <c r="K167" i="30"/>
  <c r="O167" i="30"/>
  <c r="O169" i="29"/>
  <c r="O170" i="29"/>
  <c r="K167" i="33"/>
  <c r="O167" i="33"/>
  <c r="K167" i="27"/>
  <c r="O167" i="27"/>
  <c r="K170" i="29"/>
  <c r="K169" i="29"/>
  <c r="O169" i="33" l="1"/>
  <c r="O170" i="33"/>
  <c r="O169" i="28"/>
  <c r="O170" i="28"/>
  <c r="K172" i="29"/>
  <c r="K171" i="29"/>
  <c r="O170" i="27"/>
  <c r="O169" i="27"/>
  <c r="O172" i="29"/>
  <c r="O171" i="29"/>
  <c r="K169" i="32"/>
  <c r="K170" i="32"/>
  <c r="K169" i="27"/>
  <c r="K170" i="27"/>
  <c r="I172" i="26"/>
  <c r="I171" i="26"/>
  <c r="O170" i="32"/>
  <c r="O169" i="32"/>
  <c r="O170" i="30"/>
  <c r="O169" i="30"/>
  <c r="K170" i="31"/>
  <c r="K169" i="31"/>
  <c r="K169" i="33"/>
  <c r="K170" i="33"/>
  <c r="K169" i="30"/>
  <c r="K170" i="30"/>
  <c r="K169" i="28"/>
  <c r="K170" i="28"/>
  <c r="O169" i="31"/>
  <c r="O170" i="31"/>
  <c r="O172" i="30" l="1"/>
  <c r="O171" i="30"/>
  <c r="I174" i="26"/>
  <c r="I175" i="26"/>
  <c r="O172" i="27"/>
  <c r="O171" i="27"/>
  <c r="O171" i="31"/>
  <c r="O172" i="31"/>
  <c r="K172" i="30"/>
  <c r="K171" i="30"/>
  <c r="K171" i="27"/>
  <c r="K172" i="27"/>
  <c r="O171" i="33"/>
  <c r="O172" i="33"/>
  <c r="K172" i="28"/>
  <c r="K171" i="28"/>
  <c r="K172" i="33"/>
  <c r="K171" i="33"/>
  <c r="K171" i="32"/>
  <c r="K172" i="32"/>
  <c r="O171" i="28"/>
  <c r="O172" i="28"/>
  <c r="K172" i="31"/>
  <c r="K171" i="31"/>
  <c r="O171" i="32"/>
  <c r="O172" i="32"/>
  <c r="O174" i="29"/>
  <c r="O175" i="29"/>
  <c r="K174" i="29"/>
  <c r="K175" i="29"/>
  <c r="O176" i="29" l="1"/>
  <c r="O177" i="29"/>
  <c r="K174" i="32"/>
  <c r="K175" i="32"/>
  <c r="K175" i="27"/>
  <c r="K174" i="27"/>
  <c r="O175" i="31"/>
  <c r="O174" i="31"/>
  <c r="I177" i="26"/>
  <c r="I176" i="26"/>
  <c r="K175" i="31"/>
  <c r="K174" i="31"/>
  <c r="K174" i="28"/>
  <c r="K175" i="28"/>
  <c r="K176" i="29"/>
  <c r="K177" i="29"/>
  <c r="O174" i="32"/>
  <c r="O175" i="32"/>
  <c r="O175" i="28"/>
  <c r="O174" i="28"/>
  <c r="O175" i="33"/>
  <c r="O174" i="33"/>
  <c r="K175" i="33"/>
  <c r="K174" i="33"/>
  <c r="K174" i="30"/>
  <c r="K175" i="30"/>
  <c r="O174" i="27"/>
  <c r="O175" i="27"/>
  <c r="O174" i="30"/>
  <c r="O175" i="30"/>
  <c r="K177" i="32" l="1"/>
  <c r="K176" i="32"/>
  <c r="K177" i="33"/>
  <c r="K176" i="33"/>
  <c r="O176" i="28"/>
  <c r="O177" i="28"/>
  <c r="K176" i="31"/>
  <c r="K177" i="31"/>
  <c r="O176" i="31"/>
  <c r="O177" i="31"/>
  <c r="O177" i="30"/>
  <c r="O176" i="30"/>
  <c r="K176" i="30"/>
  <c r="K177" i="30"/>
  <c r="O176" i="32"/>
  <c r="O177" i="32"/>
  <c r="K176" i="28"/>
  <c r="K177" i="28"/>
  <c r="O180" i="29"/>
  <c r="O181" i="29" s="1"/>
  <c r="O179" i="29"/>
  <c r="O177" i="27"/>
  <c r="O176" i="27"/>
  <c r="K180" i="29"/>
  <c r="K181" i="29" s="1"/>
  <c r="K179" i="29"/>
  <c r="O176" i="33"/>
  <c r="O177" i="33"/>
  <c r="I180" i="26"/>
  <c r="I181" i="26" s="1"/>
  <c r="I179" i="26"/>
  <c r="K176" i="27"/>
  <c r="K177" i="27"/>
  <c r="O179" i="32" l="1"/>
  <c r="O180" i="32"/>
  <c r="O181" i="32" s="1"/>
  <c r="K179" i="31"/>
  <c r="K180" i="31"/>
  <c r="K181" i="31" s="1"/>
  <c r="O179" i="30"/>
  <c r="O180" i="30"/>
  <c r="O181" i="30" s="1"/>
  <c r="K179" i="33"/>
  <c r="K180" i="33"/>
  <c r="K181" i="33" s="1"/>
  <c r="K179" i="27"/>
  <c r="K180" i="27"/>
  <c r="K181" i="27" s="1"/>
  <c r="O179" i="33"/>
  <c r="O180" i="33"/>
  <c r="O181" i="33" s="1"/>
  <c r="K180" i="28"/>
  <c r="K181" i="28" s="1"/>
  <c r="K179" i="28"/>
  <c r="K179" i="30"/>
  <c r="K180" i="30"/>
  <c r="K181" i="30" s="1"/>
  <c r="O180" i="31"/>
  <c r="O181" i="31" s="1"/>
  <c r="O179" i="31"/>
  <c r="O180" i="28"/>
  <c r="O181" i="28" s="1"/>
  <c r="O179" i="28"/>
  <c r="O180" i="27"/>
  <c r="O181" i="27" s="1"/>
  <c r="O179" i="27"/>
  <c r="K180" i="32"/>
  <c r="K181" i="32" s="1"/>
  <c r="K179" i="32"/>
</calcChain>
</file>

<file path=xl/sharedStrings.xml><?xml version="1.0" encoding="utf-8"?>
<sst xmlns="http://schemas.openxmlformats.org/spreadsheetml/2006/main" count="7050" uniqueCount="600">
  <si>
    <t>SAO</t>
  </si>
  <si>
    <t>DESCRIPCIÓN</t>
  </si>
  <si>
    <t>UNIDAD</t>
  </si>
  <si>
    <t>CANTIDAD TOTAL</t>
  </si>
  <si>
    <t>VALOR UNITARIO</t>
  </si>
  <si>
    <t>VALOR TOTAL</t>
  </si>
  <si>
    <t>ITEM</t>
  </si>
  <si>
    <t>m</t>
  </si>
  <si>
    <t>día</t>
  </si>
  <si>
    <t>kg</t>
  </si>
  <si>
    <t>Ayudante</t>
  </si>
  <si>
    <t>h</t>
  </si>
  <si>
    <t>Equipo soldadura termofusión Polie.</t>
  </si>
  <si>
    <t>un</t>
  </si>
  <si>
    <t>Compresor 170 lb.Inc.mart. y mang.</t>
  </si>
  <si>
    <t>m3</t>
  </si>
  <si>
    <t>m2</t>
  </si>
  <si>
    <t>Liga</t>
  </si>
  <si>
    <t>SUMINISTRO</t>
  </si>
  <si>
    <t>OBRA CIVIL</t>
  </si>
  <si>
    <t>SUMINISTROS</t>
  </si>
  <si>
    <t>VALOR DEL COSTO DIRECTO</t>
  </si>
  <si>
    <t>VALOR TOTAL DE COSTO DIRECTO</t>
  </si>
  <si>
    <t>VALOR AIU</t>
  </si>
  <si>
    <t>SUBTOTALES (INCLUIDO AIU)</t>
  </si>
  <si>
    <t>VALOR DEL COSTO DIRECTO + AIU</t>
  </si>
  <si>
    <t>VALOR DE INTERVENTORÍA</t>
  </si>
  <si>
    <t>OBRA + SUMINISTRO + INTERVENTORÍA</t>
  </si>
  <si>
    <t>SEGUIMIENTO</t>
  </si>
  <si>
    <t>VALOR SEGUIMIENTO</t>
  </si>
  <si>
    <t/>
  </si>
  <si>
    <t>VALOR TOTAL DEL PROYECTO</t>
  </si>
  <si>
    <t>Longitud de tubería</t>
  </si>
  <si>
    <t>Acometidas</t>
  </si>
  <si>
    <t>MO NO CALIF</t>
  </si>
  <si>
    <t>MO CALIF</t>
  </si>
  <si>
    <t>HERR</t>
  </si>
  <si>
    <t>Nombre</t>
  </si>
  <si>
    <t>Und</t>
  </si>
  <si>
    <t>Cantidad</t>
  </si>
  <si>
    <t>INTERVENTORÍA OBRA CIVIL</t>
  </si>
  <si>
    <t>INTERVENTORÍA SUMINISTROS</t>
  </si>
  <si>
    <t>INTERVENTORÍA</t>
  </si>
  <si>
    <t>ÍTEM</t>
  </si>
  <si>
    <t>Red</t>
  </si>
  <si>
    <t>Acometida</t>
  </si>
  <si>
    <t>meses</t>
  </si>
  <si>
    <t>semanas/mes</t>
  </si>
  <si>
    <t>frentes</t>
  </si>
  <si>
    <t>dias</t>
  </si>
  <si>
    <t>Pesos</t>
  </si>
  <si>
    <t>VR. TOTAL</t>
  </si>
  <si>
    <t>Formaleta</t>
  </si>
  <si>
    <t>ESPECIFI-CACIÓN</t>
  </si>
  <si>
    <t>DEMOLICIÓN</t>
  </si>
  <si>
    <t>Demolición Andenes sin escalas, en cualquier material (simples o reforzado)</t>
  </si>
  <si>
    <t>Demolición piso baldosa o grano</t>
  </si>
  <si>
    <t xml:space="preserve">Demolición de cordones </t>
  </si>
  <si>
    <t>Demolicion de cunetas en concreto</t>
  </si>
  <si>
    <t>ml</t>
  </si>
  <si>
    <t>MOVIMIENTOS DE TIERRA</t>
  </si>
  <si>
    <t>EXCAVACIONES</t>
  </si>
  <si>
    <t>Excavación manual o mecánica material heterogéneo de 0 - 2m</t>
  </si>
  <si>
    <t>Suministro, transporte y colocación de Lleno y compactación de material de préstamo o de excavación para zanjas y apiques, incluye compactación manual o mecánica con equipo compactador, realizado con capas horizontales con espesor no &gt; 0,2m</t>
  </si>
  <si>
    <t>Lleno y apisonado de zanjas y apiques con material seleccionado de la excavación.</t>
  </si>
  <si>
    <t>Lleno y apisonado de zanjas y apiques con material de préstamo (incluye compactación)</t>
  </si>
  <si>
    <t>Lleno y apisonado de zanjas y apiques con arenilla para protección de tubería (incluye compactación)</t>
  </si>
  <si>
    <t>Lleno y apisonado de zanjas y apiques con base granular</t>
  </si>
  <si>
    <t>Lleno y apisonado de zanjas y apiques con subbase granular</t>
  </si>
  <si>
    <t>DISPOSICIÓN DE MATERIALES SOBRANTES</t>
  </si>
  <si>
    <t>Cargue con maquinaria, retiro y disposición final de material sobrante a cualquier distancia</t>
  </si>
  <si>
    <t xml:space="preserve">RECONSTRUCCIÓN DE ANDENES EN CONCRETO, CON Y SIN ESCALAS, ARENÓN O VITRIFICADO.           </t>
  </si>
  <si>
    <t>Reconstrucción de andenes en concreto f'c = 3000PSI, e = 0,10m</t>
  </si>
  <si>
    <t>m²</t>
  </si>
  <si>
    <t>Reconstrucción de andenes en granito, arenón o vitrificado.</t>
  </si>
  <si>
    <t>Construcción o reconstrucción de cordón en concreto, vaciado o prefabricado de 3 caras.  (Ver esquemas 1,2 y 3 NEGC 402).</t>
  </si>
  <si>
    <t>Reconstruccion de cuneta en concreto de 3000 psi, espesor 0,1 m de espesor. Incluye excavación y lleno con material seleccionado de 0,2 m de espesor.</t>
  </si>
  <si>
    <t>Retiro y colocación de adoquines</t>
  </si>
  <si>
    <t>T.C DE TUBERÍA Y ACCESORIOS PARA ACUEDUCTO PEAD</t>
  </si>
  <si>
    <t>und</t>
  </si>
  <si>
    <t>S.T.C. de Tee partida 8"x3", inclyue Tornilleria y tuberia de nivelacion</t>
  </si>
  <si>
    <t>S.T.C. de Tee partida 8"x4", inclyue Tornilleria y tuberia de nivelacion</t>
  </si>
  <si>
    <t>TRANSPORTE Y COLOCACIÓN DE ACCESORIO PARA ACOMETIDA ACOMETIDAS</t>
  </si>
  <si>
    <t>Union dreseer 3" transicion PEAD-PVC</t>
  </si>
  <si>
    <t>Union dreseer 4" transicion PEAD-PVC</t>
  </si>
  <si>
    <t>Union dreseer 6" transicion PEAD-PVC</t>
  </si>
  <si>
    <t>Union dreseer 8" transicion PEAD-PVC</t>
  </si>
  <si>
    <t>Brida loca HD d= 2"</t>
  </si>
  <si>
    <t>Brida loca HD d= 3"</t>
  </si>
  <si>
    <t>Brida loca HD d= 4"</t>
  </si>
  <si>
    <t>Brida loca HD d= 6"</t>
  </si>
  <si>
    <t>Brida loca HD d= 8"</t>
  </si>
  <si>
    <t>Valvula de compuerta elastica vastago no ascendente bridada d = 2"</t>
  </si>
  <si>
    <t>Valvula de compuerta elastica vastago no ascendente bridada d = 3"</t>
  </si>
  <si>
    <t>Valvula de compuerta elastica vastago no ascendente bridada d = 4"</t>
  </si>
  <si>
    <t>Valvula de compuerta elastica vastago no ascendente bridada d = 6"</t>
  </si>
  <si>
    <t>Valvula de compuerta elastica vastago no ascendente bridada d = 8"</t>
  </si>
  <si>
    <t>VARIOS</t>
  </si>
  <si>
    <t>Construccion de caja para Válvula (Incluye: Ladrillo macizo de 10x20x40, Tubería Sanitaria a Ø6", Adaptador de Limpieza a Ø6", concreto para marco y tapa) según Norma EPM esquema 1, especificación 707,</t>
  </si>
  <si>
    <t>S.T.C. de cinta señalización redes de acueducto</t>
  </si>
  <si>
    <t>S.T.C. de Concreto f`c=21Mpa para apoyo de accesorios</t>
  </si>
  <si>
    <t>Suministro, transporte, figuración y colocación de Acero de refuerzo de Fy = 420 Mpa, 60000psi, para andenes en concreto.</t>
  </si>
  <si>
    <t>PAVIMENTO</t>
  </si>
  <si>
    <t>Corte, demolicion, retiro y botada de pavimento asfáltico.</t>
  </si>
  <si>
    <t>Corte, demolicion, retiro y botada de pavimento rigido.</t>
  </si>
  <si>
    <t xml:space="preserve">Suministro, transporte y Colocación de concreto para la  reconstrucción de pavimentos rígidos con módulo de rotura igual o superior a 28MPa , para parcheo de zanjas y apiques. </t>
  </si>
  <si>
    <t xml:space="preserve">Suministro, transporte, colocación y compactación de pavimento asfáltico, para parcheo de zanjas y apiques (incluye riego de liga) </t>
  </si>
  <si>
    <t>vr</t>
  </si>
  <si>
    <t>Factor Prest</t>
  </si>
  <si>
    <t>Vr total</t>
  </si>
  <si>
    <t>AGUAS REGIONALES EPM S.A. E.S.P.</t>
  </si>
  <si>
    <t>Día Ayudante</t>
  </si>
  <si>
    <t>Día oficial</t>
  </si>
  <si>
    <t>ANÁLISIS DE PRECIOS UNITARIOS</t>
  </si>
  <si>
    <t>CÓDIGO ÍTEM</t>
  </si>
  <si>
    <t>1. MATERIALES</t>
  </si>
  <si>
    <t>Descripción</t>
  </si>
  <si>
    <t>Unidad</t>
  </si>
  <si>
    <t>Precio unit.</t>
  </si>
  <si>
    <t>Desp.</t>
  </si>
  <si>
    <t>Vr. Parcial</t>
  </si>
  <si>
    <t>Sub - Total</t>
  </si>
  <si>
    <t>2. EQUIPOS</t>
  </si>
  <si>
    <t xml:space="preserve"> </t>
  </si>
  <si>
    <t>Tarifa</t>
  </si>
  <si>
    <t>$/km</t>
  </si>
  <si>
    <t>Rendimiento</t>
  </si>
  <si>
    <t>Herramienta menor</t>
  </si>
  <si>
    <t>Global</t>
  </si>
  <si>
    <t>Volqueta</t>
  </si>
  <si>
    <t>3. MANO DE OBRA</t>
  </si>
  <si>
    <t>Jornal</t>
  </si>
  <si>
    <t>Prest</t>
  </si>
  <si>
    <t>Jornal Total</t>
  </si>
  <si>
    <t>Vr Parcial</t>
  </si>
  <si>
    <t>4. TRANSPORTE</t>
  </si>
  <si>
    <t>$/Km</t>
  </si>
  <si>
    <t>TOTAL COSTO DIRECTO</t>
  </si>
  <si>
    <t>Martillo HILTI 1500</t>
  </si>
  <si>
    <t>Volqueta - Hora</t>
  </si>
  <si>
    <t>Oficial</t>
  </si>
  <si>
    <t>Retroexcavadora</t>
  </si>
  <si>
    <t>Canguro</t>
  </si>
  <si>
    <t>Ayudantes</t>
  </si>
  <si>
    <t>Material crudo de río</t>
  </si>
  <si>
    <t>2 Ayudantes</t>
  </si>
  <si>
    <t>retroexcavadora</t>
  </si>
  <si>
    <t>2Ayudante</t>
  </si>
  <si>
    <t>Transporte volqueta/m3</t>
  </si>
  <si>
    <t>Material de prestamo sub-base granular</t>
  </si>
  <si>
    <t>Material de prestamo base granular</t>
  </si>
  <si>
    <t xml:space="preserve">Retroexcavadora </t>
  </si>
  <si>
    <t>Transporte  volqueta m3</t>
  </si>
  <si>
    <t>concreto 21 Mpa</t>
  </si>
  <si>
    <t>Formaleta en madera</t>
  </si>
  <si>
    <t>oficial</t>
  </si>
  <si>
    <t>1 Ayudante</t>
  </si>
  <si>
    <t>Concreto 3000psi</t>
  </si>
  <si>
    <t xml:space="preserve">arenon o vitrificado </t>
  </si>
  <si>
    <t>Formaleta en madera (3 usos)</t>
  </si>
  <si>
    <t>CODIGO ITEM</t>
  </si>
  <si>
    <t>DESCRIPCION</t>
  </si>
  <si>
    <t>Cordon prefabricado 1*0,35*0,15m</t>
  </si>
  <si>
    <t>Cordon prefabricado</t>
  </si>
  <si>
    <t>Undad</t>
  </si>
  <si>
    <t>Desp</t>
  </si>
  <si>
    <t>Concreto 1:2:3: en Obra</t>
  </si>
  <si>
    <t>Tipo</t>
  </si>
  <si>
    <t>Madera</t>
  </si>
  <si>
    <t>Arena para concreto</t>
  </si>
  <si>
    <t>Arena de revoque</t>
  </si>
  <si>
    <t>Vibrocompactador tipo placa</t>
  </si>
  <si>
    <t>Día</t>
  </si>
  <si>
    <t>Transporte interno</t>
  </si>
  <si>
    <t>Equipo de termofusion electrico con operario y planta elect</t>
  </si>
  <si>
    <t>Acarreo interno</t>
  </si>
  <si>
    <t>dia</t>
  </si>
  <si>
    <t>Adaptador polietileno hembra o macho 1/2" 20 mm</t>
  </si>
  <si>
    <t>Union rapida polietileno 1/2" 20 mm</t>
  </si>
  <si>
    <t>Formaleta metalica</t>
  </si>
  <si>
    <t>Dia</t>
  </si>
  <si>
    <t>Cant.</t>
  </si>
  <si>
    <t>P.  Unitario</t>
  </si>
  <si>
    <t>Bloque en concreto 0.20 m x 0.20 m x 0.40 m</t>
  </si>
  <si>
    <t>Concreto f´c = 210 Kg/cm2</t>
  </si>
  <si>
    <t>Tapa para válvula de 0.2 m x 0.2 m en lámina calibre 20 NEGC 707</t>
  </si>
  <si>
    <t xml:space="preserve">Tubería PVC Sanitaria Ø 6" </t>
  </si>
  <si>
    <t>Adaptador de limpieza D=6"</t>
  </si>
  <si>
    <t>Cinta de señalizacion</t>
  </si>
  <si>
    <t>acero fy 60000 psi</t>
  </si>
  <si>
    <t>Acero de refuerzo tipo A-60 (fy' =60.000psi)</t>
  </si>
  <si>
    <t>Alambre de amarrar</t>
  </si>
  <si>
    <t>transporte</t>
  </si>
  <si>
    <t>,</t>
  </si>
  <si>
    <t>volqueta (Botada a cualquier distancia)</t>
  </si>
  <si>
    <t>Cortadora de pavimento</t>
  </si>
  <si>
    <t>Cant</t>
  </si>
  <si>
    <t>Distancia</t>
  </si>
  <si>
    <t xml:space="preserve">Volqueta - Hora </t>
  </si>
  <si>
    <t>2 Ayudante</t>
  </si>
  <si>
    <t>concreto 28 Mpa</t>
  </si>
  <si>
    <t>4 Ayudante</t>
  </si>
  <si>
    <t>TARIFA - dia</t>
  </si>
  <si>
    <t>Vibrocompactador</t>
  </si>
  <si>
    <t>Asfalto</t>
  </si>
  <si>
    <t>galon</t>
  </si>
  <si>
    <t>5 Ayudante</t>
  </si>
  <si>
    <t>AGUAS DE URABÁ S.A. E.S.P.</t>
  </si>
  <si>
    <t>.</t>
  </si>
  <si>
    <t xml:space="preserve">                                                         </t>
  </si>
  <si>
    <t>PLAZO EN DIAS:</t>
  </si>
  <si>
    <t>270 dias calentario</t>
  </si>
  <si>
    <t>Código</t>
  </si>
  <si>
    <t>Durac.</t>
  </si>
  <si>
    <t>Valor</t>
  </si>
  <si>
    <t>Porcentaje</t>
  </si>
  <si>
    <t>Subtotal</t>
  </si>
  <si>
    <t>1</t>
  </si>
  <si>
    <t>ADMINISTRACIÓN</t>
  </si>
  <si>
    <t xml:space="preserve">                                                                                                                                                          </t>
  </si>
  <si>
    <t>1.1</t>
  </si>
  <si>
    <t>Costos del proceso de contratación</t>
  </si>
  <si>
    <t>1.1.1</t>
  </si>
  <si>
    <t>Valor del pliego</t>
  </si>
  <si>
    <t>1.1.2</t>
  </si>
  <si>
    <t>Valor garantía seriedad propuesta</t>
  </si>
  <si>
    <t>1.1.3</t>
  </si>
  <si>
    <t>Ingeniero - Preparación propuesta</t>
  </si>
  <si>
    <t>1.2</t>
  </si>
  <si>
    <t>Costos legalización-Garantía Única</t>
  </si>
  <si>
    <t>1.2.1</t>
  </si>
  <si>
    <t>Amparo de anticipo+Intereses</t>
  </si>
  <si>
    <t>1.2.2</t>
  </si>
  <si>
    <t>Amparo de cumplimiento</t>
  </si>
  <si>
    <t>1.2.3</t>
  </si>
  <si>
    <t>Amparo de pago de salarios y prestac.</t>
  </si>
  <si>
    <t>1.2.4</t>
  </si>
  <si>
    <t>Amparo de estabilidad de la obra</t>
  </si>
  <si>
    <t>1.2.5</t>
  </si>
  <si>
    <t>Calidad y correcto funcionamiento</t>
  </si>
  <si>
    <t>1.2.6</t>
  </si>
  <si>
    <t>Otros amparos</t>
  </si>
  <si>
    <t>1.3</t>
  </si>
  <si>
    <t>Garatía de responsabilidad Civil Ex</t>
  </si>
  <si>
    <t>1.4</t>
  </si>
  <si>
    <t>Poliz de seguro de vida colectivo</t>
  </si>
  <si>
    <t>1.4.1</t>
  </si>
  <si>
    <t>Impuestos</t>
  </si>
  <si>
    <t>1.4.2</t>
  </si>
  <si>
    <t>Impuesto de Industria y Comercio</t>
  </si>
  <si>
    <t>1.4.3</t>
  </si>
  <si>
    <t xml:space="preserve">Impuesto de renta </t>
  </si>
  <si>
    <t>1.5</t>
  </si>
  <si>
    <t>Impuesto del 4x1000</t>
  </si>
  <si>
    <t>1.5.1</t>
  </si>
  <si>
    <t>1.4.4</t>
  </si>
  <si>
    <t>Contribucion especial</t>
  </si>
  <si>
    <t>1.5.2</t>
  </si>
  <si>
    <t>1.4.5</t>
  </si>
  <si>
    <t>Permiso de rotura de vias</t>
  </si>
  <si>
    <t>1.5.3</t>
  </si>
  <si>
    <t>Personal de Admón. del Contrato</t>
  </si>
  <si>
    <t>1.5.4</t>
  </si>
  <si>
    <t>Director de Obra</t>
  </si>
  <si>
    <t>1.5.5</t>
  </si>
  <si>
    <t>Ingeniero residente</t>
  </si>
  <si>
    <t>1.5.6</t>
  </si>
  <si>
    <t>Almacenista</t>
  </si>
  <si>
    <t>1.5.7</t>
  </si>
  <si>
    <t>Celador</t>
  </si>
  <si>
    <t>1.5.8</t>
  </si>
  <si>
    <t>Encargado de la obra</t>
  </si>
  <si>
    <t>1.5.9</t>
  </si>
  <si>
    <t>Secretaria</t>
  </si>
  <si>
    <t>1.5.10</t>
  </si>
  <si>
    <t>Mensajero</t>
  </si>
  <si>
    <t>1.6</t>
  </si>
  <si>
    <t>Gestor social</t>
  </si>
  <si>
    <t>1.6.2</t>
  </si>
  <si>
    <t>Gestor ambiental</t>
  </si>
  <si>
    <t>1.6.3</t>
  </si>
  <si>
    <t>1.5.11</t>
  </si>
  <si>
    <t>Topógrafo y comision</t>
  </si>
  <si>
    <t>1.6.4</t>
  </si>
  <si>
    <t>1.5.12</t>
  </si>
  <si>
    <t>Soldador</t>
  </si>
  <si>
    <t>1.6.5</t>
  </si>
  <si>
    <t>Otros gastos</t>
  </si>
  <si>
    <t>1.6.6</t>
  </si>
  <si>
    <t>1.6.1</t>
  </si>
  <si>
    <t>Arriendo y servicios públicos</t>
  </si>
  <si>
    <t>Mes</t>
  </si>
  <si>
    <t>1.6.7</t>
  </si>
  <si>
    <t>Ensayos de Laboratorio</t>
  </si>
  <si>
    <t>1.6.8</t>
  </si>
  <si>
    <t>Bodegas ó almacenes</t>
  </si>
  <si>
    <t>2</t>
  </si>
  <si>
    <t>Transporte del personal de admón.</t>
  </si>
  <si>
    <t>2.1</t>
  </si>
  <si>
    <t>Gastos de papelería y permisos</t>
  </si>
  <si>
    <t>3</t>
  </si>
  <si>
    <t>Dotación del personal</t>
  </si>
  <si>
    <t>3.1</t>
  </si>
  <si>
    <t>Otros costos de admón. (calidad)</t>
  </si>
  <si>
    <t>4</t>
  </si>
  <si>
    <t>Medio de comunicacion</t>
  </si>
  <si>
    <t>4.1</t>
  </si>
  <si>
    <t>IMPREVISTOS</t>
  </si>
  <si>
    <t>4.3</t>
  </si>
  <si>
    <t>Imprevisto (diferentes a fza.mayor)</t>
  </si>
  <si>
    <t>Gl</t>
  </si>
  <si>
    <t>4.4</t>
  </si>
  <si>
    <t>UTILIDADES</t>
  </si>
  <si>
    <t>4.5</t>
  </si>
  <si>
    <t>Utilidades del contratista</t>
  </si>
  <si>
    <t>4.6</t>
  </si>
  <si>
    <t>IMPACTO COMUNITARIO</t>
  </si>
  <si>
    <t>4.7</t>
  </si>
  <si>
    <t>Encargado IC</t>
  </si>
  <si>
    <t>4.2</t>
  </si>
  <si>
    <t>Ayudante limpieza</t>
  </si>
  <si>
    <t>Fotocopias</t>
  </si>
  <si>
    <t>Cámara Digital</t>
  </si>
  <si>
    <t>Uniformes encargado IC</t>
  </si>
  <si>
    <t>Valla informativa 6 x 3m</t>
  </si>
  <si>
    <t>Plásticos para protección de materiales y otros</t>
  </si>
  <si>
    <t>4.8</t>
  </si>
  <si>
    <t xml:space="preserve">Lonas y carpas </t>
  </si>
  <si>
    <t>4.9</t>
  </si>
  <si>
    <t>Escobas, recogedores y otros</t>
  </si>
  <si>
    <t>4.10</t>
  </si>
  <si>
    <t>Salud Ocupacional (Tapabocas, protectores auditivos, guantes, monogafas)</t>
  </si>
  <si>
    <t>4.11</t>
  </si>
  <si>
    <t>Botiquines y Camillas rígidas para campamento y frentes de trabajo</t>
  </si>
  <si>
    <t>4.12</t>
  </si>
  <si>
    <t>Señalización</t>
  </si>
  <si>
    <t>TOTAL A.U.</t>
  </si>
  <si>
    <t>A.U. OBRA CIVIL</t>
  </si>
  <si>
    <t>AU SUMINISTROS</t>
  </si>
  <si>
    <t>ESPEC. NEGC</t>
  </si>
  <si>
    <t>UND</t>
  </si>
  <si>
    <t>CANTIDAD</t>
  </si>
  <si>
    <t xml:space="preserve">Adaptador polietileno hembra o macho 1/2" 20 mm </t>
  </si>
  <si>
    <t xml:space="preserve">Adaptador polietileno hembra o macho  25mm </t>
  </si>
  <si>
    <t>Union rapida polietileno 1/2" 20 mm PEAD</t>
  </si>
  <si>
    <t>Registro corte antifraude 20mm o 25 mm</t>
  </si>
  <si>
    <t>Registro contención pvc 1/2" liso</t>
  </si>
  <si>
    <t xml:space="preserve">Unión lisa pvc 1/2" presión </t>
  </si>
  <si>
    <t>Codo liso pvc  1/2"X90° presión</t>
  </si>
  <si>
    <t>S.T.C ACCESORIOS PARA ACUEDUCTO HD</t>
  </si>
  <si>
    <t>GEOREFERENCIACION</t>
  </si>
  <si>
    <t xml:space="preserve">Refererenciación de redes por elemento </t>
  </si>
  <si>
    <t>Kg</t>
  </si>
  <si>
    <t>Medidor para acometida de acueducto de 15 mm (1/2”), de diametro, chorro único, transmision mecanica, clase metrológica C. ó su equivalente en version 2007 de la norma (Qp: 2,5 m3/h), incluye  la instalación de las pitorras para la correcta conexión a la intradomiciliar  y niple</t>
  </si>
  <si>
    <t>LISTADO DE MAQUINARIA</t>
  </si>
  <si>
    <t>RENDIMIENTO</t>
  </si>
  <si>
    <t>RETROEXCAVADORA LLANTAS</t>
  </si>
  <si>
    <t>Con la retroexcavadora pajarita de balde pequeño de 60 cm y equpo combinado; se ejecutarán todas las excavaciones, para garantizar mayor eficiencia en la colocacion de la tuberia y accesorios.</t>
  </si>
  <si>
    <t>COMPACTADOR DE PLACA- CANGURO</t>
  </si>
  <si>
    <t>El compactador de placa canguro de 75 Kg, el cual alcanza un golpe de impacto de 1430 Kg, trabaja a gasolina . Con una placa de 40x40 cm, operada por un solo hombre, que permite la compactación de capas de 15 cm de espesor dentro de la zanja con un rendimiento aproximado de 200 m2</t>
  </si>
  <si>
    <t>COMPRESOR-MARTILLO-MANGUERA</t>
  </si>
  <si>
    <t>El compresor+martillo+manguera, se utilizará para la ruptura del pavimento</t>
  </si>
  <si>
    <t>CONCRETADORA</t>
  </si>
  <si>
    <t>concretadora de 1 m3, a gasolina, para la elaboraciónbde las mezclas de concreto, lo cual nos permite rapidez y una mezcla homogenea</t>
  </si>
  <si>
    <t>VIBROCOMPACTADOR</t>
  </si>
  <si>
    <t>vibrocompactador de cilindro ca 15, de 6,5 toneladas, se utilizará para el parcheo que resulte de ejecutar las demoliciones del pavimento</t>
  </si>
  <si>
    <t>10.1</t>
  </si>
  <si>
    <t>Suministro de tubería de PE para Acueducto PE 100 PN 10 RDE 17 en los siguientes diámetros nominales:</t>
  </si>
  <si>
    <t>Tubería PE Øint. 55,4mm, (63mm)</t>
  </si>
  <si>
    <t>TIEMPO EN SEMANAS</t>
  </si>
  <si>
    <t>N°</t>
  </si>
  <si>
    <t>OPTIMIZACIÓN REDES DE ACUEDUCTO- MUNICIPIO DE TURBO</t>
  </si>
  <si>
    <t xml:space="preserve">OPTIMIZACIÓN Y EXTENSIÓN DE REDES DE DISTRIBUCIÓN SECUNDARIA, MUNICIPIO DE TURBO – ANTIOQUIA </t>
  </si>
  <si>
    <t>Equipo de termo fusion</t>
  </si>
  <si>
    <t xml:space="preserve">Tubería de polietileno para acueducto PE 100 PN 10, Øint. 55.4 mm, (63 mm). </t>
  </si>
  <si>
    <t xml:space="preserve">Tubería de polietileno para acueducto PE 100 PN 10, Øint. 79.2 mm, (90 mm). </t>
  </si>
  <si>
    <t xml:space="preserve">Tubería de polietileno para acueducto PE 100 PN 10, Øint. 96.8 mm, (110 mm). </t>
  </si>
  <si>
    <t xml:space="preserve">Tubería de polietileno para acueducto PE 100 PN 10, Øint. 141.2 mm, (160 mm). </t>
  </si>
  <si>
    <t xml:space="preserve">Tubería de polietileno para acueducto PE 100 PN 10, Øint. 176,2 mm, (200 mm). </t>
  </si>
  <si>
    <t>Tee PEAD PN10, d= 63x63 Termofusion</t>
  </si>
  <si>
    <t>Tee PEAD PN10, d= 90x90 Termofusion</t>
  </si>
  <si>
    <t>Tee PEAD PN10 d= 90x90 Termofusion</t>
  </si>
  <si>
    <t>Tee PEAD PN10 d= 63x63 Termofusion</t>
  </si>
  <si>
    <t>Tee PEAD PN10 d=110x110 Termofusion</t>
  </si>
  <si>
    <t>Tee PEAD PN10 d=160x160mm Termofusion</t>
  </si>
  <si>
    <t>Tee PEAD PN10 d=200x200mmTermofusion</t>
  </si>
  <si>
    <t>Tee PEAD PN10 d=110x90x110mm Termofusion</t>
  </si>
  <si>
    <t>Tee PEAD PN10 d= 90x63x90 Termofusion</t>
  </si>
  <si>
    <t>Codo PEAD PN10 d= 63mmx90° Termofusion</t>
  </si>
  <si>
    <t>Codo PEAD PN10 d= 90mmx90° Termofusion</t>
  </si>
  <si>
    <t>Codo PEAD PN10 d= 110mmx90° Termofusion</t>
  </si>
  <si>
    <t>Tapon PEAD PN10 d= 90mm Termofusion</t>
  </si>
  <si>
    <t>Tee PEAD PN10 d= 200x90x200 Termofusion</t>
  </si>
  <si>
    <t>Reduccion PEAD PN10 de 110mm a 90mm Termofusion</t>
  </si>
  <si>
    <t>Reduccion PEAD PN10 de 160mm a 90mm Termofusion</t>
  </si>
  <si>
    <t>Reduccion PEAD PN10 de 200mm a 110mm Termofusion</t>
  </si>
  <si>
    <t>Reduccion PEAD PN10 de 200mm a 160mm Termofusion</t>
  </si>
  <si>
    <t>Portabrida PEAD PN10 d= 63mm</t>
  </si>
  <si>
    <t>Portabrida PEAD PN10 d= 90mm</t>
  </si>
  <si>
    <t>Portabrida PEAD PN10 d= 110mm</t>
  </si>
  <si>
    <t>Portabrida PEAD PN10 d= 160mm</t>
  </si>
  <si>
    <t>Portabrida PEAD PN10 d= 200mm</t>
  </si>
  <si>
    <t>Tubería polietileno PN 10 d=20 mm, 140 PSI x 150 metros</t>
  </si>
  <si>
    <t>Tubería polietileno PN 10 d=25 mm, 140 PSI x 150 metros</t>
  </si>
  <si>
    <t>Tuberia PEAD PN10, Øint. 79,2mm, (90mm)</t>
  </si>
  <si>
    <t>Tuberia PEAD PN10, Øint. 96,8 mm, (110mm)</t>
  </si>
  <si>
    <t>Tuberia PEAD PN10, Øint. 141,2 mm, (160mm)</t>
  </si>
  <si>
    <t>Tuberia PEAD PN10, Øint. 176,2mm, (200mm)</t>
  </si>
  <si>
    <t>Tee PEAD PN10, d=110x110 Termofusion</t>
  </si>
  <si>
    <t>Tee PEAD PN10, d=160x160mm Termofusion</t>
  </si>
  <si>
    <t>Tee PEAD PN10, d=200x200mmTermofusion</t>
  </si>
  <si>
    <t>Tee PEAD PN10, d=110x90x110mm Termofusion</t>
  </si>
  <si>
    <t>Tee PEAD PN10, d= 90x63x90 Termofusion</t>
  </si>
  <si>
    <t>Codo PEAD PN10, d= 63mmx90° Termofusion</t>
  </si>
  <si>
    <t>Codo PEAD PN10, d= 90mmx90° Termofusion</t>
  </si>
  <si>
    <t>Codo PEAD PN10, d= 110mmx90° Termofusion</t>
  </si>
  <si>
    <t>Tapon PEAD PN10, d= 90mm Termofusion</t>
  </si>
  <si>
    <t>Tee PEAD PN10, d= 200x90x200 Termofusion</t>
  </si>
  <si>
    <t>Portabrida PEAD PN10, d= 63mm</t>
  </si>
  <si>
    <t>Portabrida PEAD PN10, d= 90mm</t>
  </si>
  <si>
    <t>Portabrida PEAD PN10, d= 110mm</t>
  </si>
  <si>
    <t>Portabrida PEAD PN10, d= 160mm</t>
  </si>
  <si>
    <t>Portabrida PEAD PN10, d= 200mm</t>
  </si>
  <si>
    <t>SUMINISTRO DE TUBERÍA Y ACCESORIO PARA ACOMETIDA PEAD PN 10</t>
  </si>
  <si>
    <t>Silleta socket PN 10, agua de 63 mm con salida 20 mm</t>
  </si>
  <si>
    <t>Silleta socket PN 10, agua de 90mm con salida 20 mm</t>
  </si>
  <si>
    <t>Silleta socket PN 10, agua de 63 mm con salida 25 mm</t>
  </si>
  <si>
    <t>Silleta socket PN 10, agua de 90mm con salida 25 mm</t>
  </si>
  <si>
    <t>Silleta socket PN 10,agua de 110mm con salida 20 mm</t>
  </si>
  <si>
    <t>Silleta socket PN 10, agua de 110mm con salida 20 mm</t>
  </si>
  <si>
    <t>Excavación manual o mecánica, en material heterogéneo de 0 - 2m</t>
  </si>
  <si>
    <t>Excavación en roca a cualquier profundidad y humedad por método no explosivo o con material no explosivo tipo cras o similar</t>
  </si>
  <si>
    <t>Cemento expansivo o CRAS - Toxement</t>
  </si>
  <si>
    <t>Retroexcav. Ford 755</t>
  </si>
  <si>
    <t>Transporte personal y equipo</t>
  </si>
  <si>
    <t>SUMINISTRO DE TUBERÍA Y ACCESORIO PARA ACOMETIDA PEAD PN 12</t>
  </si>
  <si>
    <t>SUMINISTRO DE TUBERÍA Y ACCESORIO PARA ACOMETIDA PEAD PN 13</t>
  </si>
  <si>
    <t>SUMINISTRO DE TUBERÍA Y ACCESORIO PARA ACOMETIDA PEAD PN 14</t>
  </si>
  <si>
    <t>SUMINISTRO DE TUBERÍA Y ACCESORIO PARA ACOMETIDA PEAD PN 15</t>
  </si>
  <si>
    <t>SUMINISTRO DE TUBERÍA Y ACCESORIO PARA ACOMETIDA PEAD PN 16</t>
  </si>
  <si>
    <t>SUMINISTRO DE TUBERÍA Y ACCESORIO PARA ACOMETIDA PEAD PN 17</t>
  </si>
  <si>
    <t>S.T.C. de lleno con Triturado</t>
  </si>
  <si>
    <t>Triturado para protección de tubería</t>
  </si>
  <si>
    <t>Bobcat</t>
  </si>
  <si>
    <t>Suministro, transporte y construcción de caja de medidor de 1/2" en concreto de 21 Mpa (210Kg/cm2) de 35x50 cm, espesor de 0,05 m,  incluye instalación de la tapa metálica.</t>
  </si>
  <si>
    <t>Tee PEAD PN10 d=110x63x110mm Termofusion</t>
  </si>
  <si>
    <t>Tee PEAD PN10, d=110x63x110mm Termofusion</t>
  </si>
  <si>
    <t>SUMINISTRO INSTALACION Y PUESTA EN MARCHA DE MACROMEDIDORES ELECTROMAGNETICOS INCLUYE : TORNILLERIA, EMPAQUES Y  ACCESORIOS COMPLEMENTARIOS SEGÚN PLANO ANEXO</t>
  </si>
  <si>
    <t>10.3</t>
  </si>
  <si>
    <t>10.4</t>
  </si>
  <si>
    <t>Ø 12"</t>
  </si>
  <si>
    <t>Ø16"</t>
  </si>
  <si>
    <t xml:space="preserve">Transporte externo </t>
  </si>
  <si>
    <t>Construcción de cajas en  concreto reforzado de 210 kg7cm2, incluye  desagües, soportes para los macromedidores,  barandas.</t>
  </si>
  <si>
    <t>Formaleta metalica en gral (costo)</t>
  </si>
  <si>
    <t>Concreto impermeable 21.0 MPa"</t>
  </si>
  <si>
    <t>Vibrador eléctrico para concreto</t>
  </si>
  <si>
    <t>Planta eléctrica 5 Kv 110 - 220 V</t>
  </si>
  <si>
    <t>Mortero 1:3 en obra</t>
  </si>
  <si>
    <t>Triturado de 3/4"</t>
  </si>
  <si>
    <t>Pasamanos en tubería liviana Ø1 1/2"</t>
  </si>
  <si>
    <t>Excavacion y retiro de material</t>
  </si>
  <si>
    <t>S.T.I. de Medidor para acometida de acueducto de 15 mm (1/2”), de diametro, chorro único, transmision mecanica, clase metrológica C. ó su equivalente en version 2007 de la norma (Qp: 2,5 m3/h), incluye  la instalación de las pitorras para la correcta conexión a la intradomiciliar  y niple</t>
  </si>
  <si>
    <t xml:space="preserve">Hidrante Ø 3¨ tipo milan incluye valvula en HD extremo liso y demas  accesorios para su instalaciòn </t>
  </si>
  <si>
    <t>Valvula de compuerta elastica vastago no ascendente</t>
  </si>
  <si>
    <t>Suministro e Instalación de geotextil No tejido por cada 100 m2, para la protección del lleno en la zanja</t>
  </si>
  <si>
    <t>Geotextil NT 2500 gr/m2</t>
  </si>
  <si>
    <t>OPTIMIZACIÓN Y EXTENSIÓN DE REDES DE DISTRIBUCIÓN SECUNDARIA, MUNICIPIO DE TURBO – ANTIOQUIA,</t>
  </si>
  <si>
    <t>SECTOR 11</t>
  </si>
  <si>
    <t>SECTOR 14</t>
  </si>
  <si>
    <t>SECTOR 9</t>
  </si>
  <si>
    <t>SECTOR 4</t>
  </si>
  <si>
    <t>SECTOR 5</t>
  </si>
  <si>
    <t>SECTOR 3</t>
  </si>
  <si>
    <t>SECTOR 10</t>
  </si>
  <si>
    <t>SECTOR 13</t>
  </si>
  <si>
    <t xml:space="preserve">Adaptador polietileno  macho 1/2" 20 mm </t>
  </si>
  <si>
    <t xml:space="preserve">Adaptador polietileno hembra 1/2" 20 mm </t>
  </si>
  <si>
    <t xml:space="preserve">Adaptador polietileno macho 1/2" 20 mm </t>
  </si>
  <si>
    <t xml:space="preserve">Adaptador polietileno hembra  1/2" 20 mm </t>
  </si>
  <si>
    <t>SALIDA DISTRIBUCION TANQUE LA LUCILA TURBO</t>
  </si>
  <si>
    <t>SEGÚN NORMA Y/O ESPECIFICACION</t>
  </si>
  <si>
    <t>UNID.</t>
  </si>
  <si>
    <t>CANT.</t>
  </si>
  <si>
    <t>VALOR UNIT</t>
  </si>
  <si>
    <t>OBRAS Y CANTIDADES HIDRAULICAS</t>
  </si>
  <si>
    <t>Suministro, transporte e instalacion de tuberia tuberia en acero al carbono 12" DN300, debe incluir todos los accesorios(curvas, union flexible, soldadura, bridas en acero tropicalizadas, tornilleria, empaque) que sean necesarios para los equipos a instalar según planos adjuntos.</t>
  </si>
  <si>
    <t>2.1.2 a la 2.1.10</t>
  </si>
  <si>
    <t>GLB</t>
  </si>
  <si>
    <t>Suministro, transporte e instalacion de un medidor de flujo electromagnetico de electronica compacta de 12" DN300, cuerpo bridado.</t>
  </si>
  <si>
    <t>2.1.1</t>
  </si>
  <si>
    <t>Sunistro, transporte e instalacion de válvula Mariposa bridada, PN10, de doble excentricidad, eje seco, bridas perforadas ANSI B16.5 clase150. diametro nominal de 12" DN300.</t>
  </si>
  <si>
    <t>2.1.13</t>
  </si>
  <si>
    <t>Suministro, trasporte e instalacion de actuador electrico trifasico, para valvula mariposa 12" DN300.</t>
  </si>
  <si>
    <t>2.1.12</t>
  </si>
  <si>
    <t>Suministro, transporte e intalacion válvula ventosa de triple efecto, PN10, bridas según ANSI B16.5 clase 150  de 2" DN050.</t>
  </si>
  <si>
    <t>2.1.14</t>
  </si>
  <si>
    <t>OBRAS Y CANTIDADES CIVILES</t>
  </si>
  <si>
    <t>Construccion de camara en concreto para alojar los elementos de medida hidraulicos para un diametro de tuberia de 12".</t>
  </si>
  <si>
    <t>OBRAS Y CANTIDADES ELECTRICAS Y DE CONTROL</t>
  </si>
  <si>
    <t>Suministro, transporte e instalacion de transmisor de presion para medicion de nivel de tanque elevado. Instalado en tuberia de drenaje, debe incluir manometro y flauta de conexión en acero inoxidable</t>
  </si>
  <si>
    <t>3.1.27</t>
  </si>
  <si>
    <t xml:space="preserve">Suministro e instalacion de tablero de control tipo intemperie en acero inoxidable. </t>
  </si>
  <si>
    <t>3.1.1 a la 3.1.24</t>
  </si>
  <si>
    <t>Suministro, transporte  e instalcion de las obras electricas necesarias descritas en el numeral 5.1.11 items 9 y 10 para el correcto funcionamiento de los equipos y de las inatalciones electricas de la estacion</t>
  </si>
  <si>
    <t>4.1.1 a la 4.1.4</t>
  </si>
  <si>
    <t>Suministro e instalacion de enlace de comunicaciones.</t>
  </si>
  <si>
    <t>3.1.25</t>
  </si>
  <si>
    <t>TOTAL</t>
  </si>
  <si>
    <t>SALIDA DISTRIBUCION TANQUE CASANOVA TURBO</t>
  </si>
  <si>
    <t>Suministro, transporte e instalacion de tuberia tuberia en acero al carbono 16" DN400, debe incluir todos los accesorios(curvas, union flexible, soldadura, bridas en acero tropicalizadas, tornilleria, empaque) que sean necesarios para los equipos a instalar según planos adjuntos.</t>
  </si>
  <si>
    <t>Suministro, transporte e instalacion de un medidor de flujo electromagnetico de electronica compacta de 16" DN400, cuerpo bridado.</t>
  </si>
  <si>
    <t>Sunistro, transporte e instalacion de válvula Mariposa bridada, PN10, de doble excentricidad, eje seco, bridas perforadas ANSI B16.5 clase150. diametro nominal de 16" DN400.</t>
  </si>
  <si>
    <t>Suministro, trasporte e instalacion de actuador electrico trifasico, para valvula mariposa 16" DN400.</t>
  </si>
  <si>
    <t>Integracion al sistema de control actual del tanque. Debe incluir protecciones, borneras, marcacion, cableado en tablero y modificacion del programa Unitypro con las nuevas variables</t>
  </si>
  <si>
    <t>Suministro, transporte  e instalcion de las obras electricas necesarias descritas en el numeral 5.1.8 item 7 para el correcto funcionamiento de los equipos y de las inatalciones electricas de la estacion</t>
  </si>
  <si>
    <t>Acero  Fy = 420 Mpa, 60000psi, (todo diámetro)</t>
  </si>
  <si>
    <t xml:space="preserve"> Ayudante</t>
  </si>
  <si>
    <t>Construcción de cajas en  concreto reforzado de 210 kg/cm2, Acero de refuerzo Fy = 420 Mpa, 60000psi (todo diametro),  incluye  desagües, soportes para los macromedidores,  barandas en tubería galvanizada de 2"</t>
  </si>
  <si>
    <t xml:space="preserve">Tapa rectangular antifraude EPM de 35x50 cms fundición dúctil o nodular, con nombre de empresa </t>
  </si>
  <si>
    <t>Construcción de cajas en  concreto reforzado de 210 kg/cm2, incluye  desagües, soportes para los macromedidores,  barandas.</t>
  </si>
  <si>
    <t>OPTIMIZACIÓN Y EXTENSIÓN DE REDES DE DISTRIBUCIÓN SECUNDARIAS DE ACUEDUCTO, MUNICIPIO DE TURBO, ANTIOQUIA</t>
  </si>
  <si>
    <t>Pulidora manual Hilit</t>
  </si>
  <si>
    <t>TALADRO ROTOPERCUTOR HILTI TE -2</t>
  </si>
  <si>
    <t>TALADRO ROTOPERCUTOR HILTI TE-56</t>
  </si>
  <si>
    <t>Taladro rotopercursor Hiliti Te.56</t>
  </si>
  <si>
    <t>Material sub base</t>
  </si>
  <si>
    <t>Transporte en volqueta</t>
  </si>
  <si>
    <t>cantidad</t>
  </si>
  <si>
    <t>Demolición Andenes sin escalas, en cualquier material (simples o reforzado), espesor entre 7 y 10 cm</t>
  </si>
  <si>
    <t>Cargue con maquinaria, retiro y disposición final de material sobrante a 4 Km</t>
  </si>
  <si>
    <t>Excavación manual material común de 0 - 2m</t>
  </si>
  <si>
    <t>Excavación mecánica en material común de 0 - 2m</t>
  </si>
  <si>
    <t>Suministro, transporte y colocación (S.T.C.) de Lleno y compactación de material de préstamo o de excavación para zanjas y apiques, incluye compactación manual o mecánica con equipo compactador, realizado con capas horizontales con espesor no &gt; 0,2m</t>
  </si>
  <si>
    <t>S.T.C. de Medidor para acometida de acueducto de 15 mm (1/2”), de diametro, chorro único, transmision mecanica, clase metrológica C. ó su equivalente en version 2007 de la norma (Qp: 2,5 m3/h), incluye  la instalación de las pitorras para la correcta conexión a la intradomiciliar  y niple</t>
  </si>
  <si>
    <t>TRANSPORTE Y COLOCACIÓN DE TUBERÍA Y ACCESORIOS PARA ACUEDUCTO PEAD</t>
  </si>
  <si>
    <t>TRANSPORTE Y COLOCACIÓN DE ACCESORIO PARA ACOMETIDAS</t>
  </si>
  <si>
    <t>Válvula de compuerta elástica vástago no ascendente bridada d = 2"</t>
  </si>
  <si>
    <t>Válvula de compuerta elástica vástago no ascendente bridada d = 3"</t>
  </si>
  <si>
    <t>Válvula de compuerta elástica vástago no ascendente bridada d = 4"</t>
  </si>
  <si>
    <t>Válvula de compuerta elástica vástago no ascendente bridada d = 8"</t>
  </si>
  <si>
    <t>Válvula de compuerta elástica vástago no ascendente bridada d = 6"</t>
  </si>
  <si>
    <t xml:space="preserve">Hidrante Ø 3¨ tipo milan incluye válvula en HD extremo liso y demas  accesorios para su instalación </t>
  </si>
  <si>
    <t xml:space="preserve">SUMINISTRO, INSTALACION Y PUESTA EN MARCHA DE MACROMEDIDORES ELECTROMAGNETICOS INCLUYE : TORNILLERIA, EMPAQUES Y  ACCESORIOS COMPLEMENTARIOS </t>
  </si>
  <si>
    <t>Corte, demolición, retiro y botada de pavimento asfáltico.</t>
  </si>
  <si>
    <t>Corte, demolición, retiro y botada de pavimento rígido.</t>
  </si>
  <si>
    <t>Suministro de tubería de PEAD para Acueducto PE 100 PN 10 en los siguientes diámetros nominales:</t>
  </si>
  <si>
    <t>Tubería PEAD Øint. 55,4mm, (63mm)</t>
  </si>
  <si>
    <t>Tee PEAD PN10, d= 63x63 Termofusión</t>
  </si>
  <si>
    <t>Tee PEAD PN10, d= 90x90 Termofusión</t>
  </si>
  <si>
    <t>Tee PEAD PN10, d=110x110 Termofusión</t>
  </si>
  <si>
    <t>Tee PEAD PN10, d=160x160mm Termofusión</t>
  </si>
  <si>
    <t>Tee PEAD PN10, d=200x200mmTermofusión</t>
  </si>
  <si>
    <t>Tee PEAD PN10, d=110x90x110mm Termofusión</t>
  </si>
  <si>
    <t>Tee PEAD PN10 d=110x63x110mm Termofusión</t>
  </si>
  <si>
    <t>Tee PEAD PN10, d= 90x63x90 Termofusión</t>
  </si>
  <si>
    <t>Codo PEAD PN10, d= 63mmx90° Termofusión</t>
  </si>
  <si>
    <t>Codo PEAD PN10, d= 90mmx90° Termofusión</t>
  </si>
  <si>
    <t>Codo PEAD PN10, d= 110mmx90° Termofusión</t>
  </si>
  <si>
    <t>Tapon PEAD PN10, d= 90mm Termofusión</t>
  </si>
  <si>
    <t>Tee PEAD PN10, d= 200x90x200 Termofusión</t>
  </si>
  <si>
    <t>Reduccion PEAD PN10 de 110mm a 90mm Termofusión</t>
  </si>
  <si>
    <t>Reduccion PEAD PN10 de 160mm a 90mm Termofusión</t>
  </si>
  <si>
    <t>Reduccion PEAD PN10 de 200mm a 110mm Termofusión</t>
  </si>
  <si>
    <t>Reduccion PEAD PN10 de 200mm a 160mm Termofusión</t>
  </si>
  <si>
    <t>TOTAL COSTO DIRECTO OBRA CIVIL:</t>
  </si>
  <si>
    <t>IVA SOBRE LA UTILIDAD (19%):</t>
  </si>
  <si>
    <t>Administración:</t>
  </si>
  <si>
    <t>TOTAL COSTO DIRECTO SUMINISTRO:</t>
  </si>
  <si>
    <t xml:space="preserve">Suministro, transporte e instalación de un medidor de flujo electromagnético de electrónica compacta de 12" DN300, cuerpo bridado. Incluye los siguientes elementos: 
- Suministro, transporte e instalacion de tuberia en acero al carbono 12" DN300, con todos los accesorios (curvas, union flexible, soldadura, bridas en acero tropicalizadas, tornilleria, empaque) que sean necesarios para los equipos a instalar según planos adjuntos.
- Suministro, transporte e instalación de válvula Mariposa bridada, PN10, de doble excentricidad, eje seco, bridas perforadas ANSI B16.5 clase 150. diámetro nominal de 12" DN300.
- Suministro, trasporte e instalación de actuador eléctrico trifásico, para válvula mariposa 12" DN300.
- Suministro, transporte e instalación válvula ventosa de triple efecto, PN10, bridas según ANSI B16.5 clase 150 de 2" DN050.
- Suministro, transporte e instalación de transmisor de presión para medición de nivel de tanque elevado. Instalado en tuberia de drenaje, debe incluir manómetro y flauta de conexión en acero inoxidable
</t>
  </si>
  <si>
    <t>Suministro e instalación de pantalla HMI de 5.7'' a color táctil de 320 x 240 pixeles con alimentación entre 18 y 30 Vdc y su consumo de corriente no deberá exceder los 500 mA, Deberá soportar los protocolos Modbus TCP estándar, protocolos de Siemens (Simatic), Rockwell Automation (Allen-Bradley), protocolos de Mitsubishi entre otros. Deberá contar con las interfaces físicas:
• Ethernet RJ45, interface: IEEE 802.3
• Ethernet RJ45, interface: 10BASE-T/100BASE-TX
• USB 2.0 puerto mini B USB
• USB 2.0 puerto USB tipo A
• COM2 link serial RJ45, interface: RS485, tasa de trasmisión de: 187.5 kbps compatible con la interfaz MPI de siemens.
• COM2 link serial RJ45, interface: RS485,, tasa de trasmisión de : 2400...115200 bps
• COM1 link serial SUB-D 9, interface: RS232C, , tasa de trasmisión de: 2400...115200 bps
Deberá ser apta para operar a una temperatura de entre 0 y 55 °C. El panel frontal deberá ofrecer un grado de protección IP 65.
- Suminitro e instalación de otros elementos y accesorios secundarios para la integración de los sistemas al interior del tablero tales como borneras, relés de interposición, optoacopladores, protecciones análogas de 4 a 20 mA, Bornera de desconexión tipo cuchilla con porta fusible, Protecciones seriales RS485, Interruptores automáticos termomagnéticos para AC y DC, Limitadores de tensión, Monitoreo de la temperatura interna (celda de control), Control de temperatura interna, Control de la humedad relativa, Calefacción de la envolvente, Iluminación interna,  Cableado y marcación entre otros</t>
  </si>
  <si>
    <t xml:space="preserve">Suministro, transporte  e instalacion de las obras de control y potencia desde el tablero tipo intemperie hasta los instrumentos de medición de caudal, actuador eléctrico de la válvula y transmisores de presión, para el correcto funcionamiento de los equipos y de las instalaciones electricas de la estación, incluye las siguientes actividades: 
- Suministro excavación instalación y aseguramiento de tubería de PVC conduit de 2" desde el tablero tipo intemperie hasta el macromedidor tubería PVC
- Suministro excavación instalación y aseguramiento de tubería de PVC conduit de 2" desde el tablero tipo intemperie hasta el macromedidor tubería hierro dúctil
- Suministro instalación y aseguramiento de tubería metálica EMT de 2" expuestas para el macromedidor tubería PVC
- Suministro e instalación de cableado para la instrumentación (LT, PIT, FIT) cable instrumentación calibre 12x16, 4x16, incluye accesorios Ceno, borneras, dos  cajas de conexión en acero inoxidable para la conexion del motor y la otra para la conexion de la instrumentacion, conectores, terminales de cobre, encintada  y demás  elementos necesarios para su correcta instalación, considerar 20 m para el transmisor de presión y macromedidor desde el tablero tipo intemperie hasta los instrumentos de tuberia PVC
- Suministro e instalación de cableado para la instrumentación (LT, PIT, FIT) cable instrumentación calibre 12x16, 4x16, incluye accesorios Ceno, borneras, dos  cajas de conexión en acero inoxidable para la conexion del motor y la otra para la conexion de la instrumentacion, conectores, terminales de cobre, encintada  y demás  elementos necesarios para su correcta instalación, considerar 30 m para el transmisor de presión y macromedidor desde el tablero tipo intemperie hasta los instrumentos de tubería hierro ductil
- Suministro e instalación de cableado para el actuador eléctrico de las válvula para tubería de PVC en AWG 3 x 18 
- Suministro e instalación de cableado para el actuador eléctrico de las válvula para tubería de hierro dúctil en cable encauchetado AWG 3 x 18
</t>
  </si>
  <si>
    <t>Suministro e instalación de enlace de comunicaciones para los macromedidores de 12" en el Tanque La Lucila, incluye las siguientes actividades: 
- Suministro e instalación de antenas de radio 5GHZ CAMBIUM NETWORK ePMP 3Mbps 3KM para ser ubicadas sobre el tanque la Lucila y sobre el tanque Casanova
- Suministro e instalación de Rack cerrado tipo intemperie
- Suministro e instalación de cable SSTP intemperie CAT 5E
- Suministro e instalación de Swich Dlink DGS 1210-28
- Suministro e instalación de UPS 1kVA 100 in-110 out
- Suministro en instalación de POE
- Suministro e instalación de supresor de picos ETHERNET (600SSD)</t>
  </si>
  <si>
    <t xml:space="preserve">Suministro e instalación y puesta en funcionamiento del sistema eléctrico para el tanque la Lucila del municipio de Turbo, incluye las siguientes actividades </t>
  </si>
  <si>
    <t>Suministro, transporte e instalación de transformador monofásico 7620/240/120 V de 25 kVA instalado en poste. Incluye protocolo de pruebas, trámites para puesta en funcionamiento, pago de revisión del mismo en EPM.</t>
  </si>
  <si>
    <t>Suministro e instalación de vestida de protecciones de transformador de media tensión para montaje de transformador monofásico según la norma epm RA3-026. Incluye pararrayo, caja primaria, 1 fusibles tipo 5 K, herrajes y accesorios para su adecuado funcionamiento según norma.</t>
  </si>
  <si>
    <t>Suministro e instalación de viento convencional. Incluye accesorios y elementos para su adecuado funcionamiento (varilla, guardacabos, cable súper gx, bloque anclaje, arandela y aislador), según norma RA6-001</t>
  </si>
  <si>
    <t xml:space="preserve">Suministro e instalación de gabinete de medida y protección tipo intemperie para instalar en pedestal. Incluye elementos de fijación </t>
  </si>
  <si>
    <t>Suministro e instalación de poste en concreto de 12 m 750 kg para montaje de antena con pararrayos tipo punta Franklin según normas EPM. Incluye obra civil, pintura botada de escombros y todo lo necesario para su correcta instalación.</t>
  </si>
  <si>
    <t>Suministro e instalación de poste en concreto de 12 m 510 kg para montaje de antena con pararrayos tipo punta Franklin según normas EPM. Incluye obra civil, pintura botada de escombros y todo lo necesario para su correcta instalación.</t>
  </si>
  <si>
    <t>Suministro e instalación de bajante en tubería metálica galvanizada de 2", para acometida eléctrica. Incluye accesorios y elementos de fijación (capacete, cinta band-it, hebillas y marcación )</t>
  </si>
  <si>
    <t>Suministro de tramites de legalización de la instalación, tramites de pruebas del transformador de 25 KVA, ante el operador de red EPM, por un ingeniero electricista especializado con matricula profesional. Incluye todas las comunicaciones escritas y verbales, solicitudes, visitas, reuniones con la interventoría de epm e incluye la certificación plena de conformidad con el organismo certificador del RETIE.</t>
  </si>
  <si>
    <t>Suministro e instalación de acometida eléctrica en 3Nº 1/0 +1Nº 2 AWG-CU-THHN incluye  capacete, conectores, terminales de cobre, encintada  y demás  elementos necesarios para su correcta instalación.</t>
  </si>
  <si>
    <t>Suministro e instalación de malla de puesta a tierra en cable 1/0 con  3 varillas coperweld 5/8" x 2,40, disposición triangular de 5 m de longitud en cada lado, soldaduras exotérmicas de 150 gr, según diseño realizado  EPM . Incluye colas descarga en cable desnudo Nº 1/0 AWG de cerramientos,  descarga de tableros y equipos, puertas, protocolo de medidas de resistividad del terreno y resistencia de puesta a tierra, realizadas con telurometro normalizado, caja de inspección 30x30  y acople a descarga de red trifásica y sistema de apantallamiento.</t>
  </si>
  <si>
    <t>Suministro e instalación de acometida de iluminación  eléctrica en 3Nº 12 THHN  incluye  conectores, terminales de cobre, encintada  y demás  elementos necesarios para su correcta instalación.</t>
  </si>
  <si>
    <t xml:space="preserve">Suministro e instalación y puesta en servicio de lámpara de  alumbrado público EPM kit sodio luz blanca MH 150  con brazo y con base de fotocelda 220 V . Iluminación exterior  incluye fotocelda, conexión  y demás accesorios necesarios para su correcta instalación. </t>
  </si>
  <si>
    <t>suministro, transporte, instalacion y puesta en servicio de  red secundaria en trenza triplex calibre 1/0 AWG, incluye todos los elementos necesarios de acuerdo con las normas de EPM, longitud aproximada 130 m, desde el poste del trasformador de 25 kVA hasta luminaria tipo alumbrado público.</t>
  </si>
  <si>
    <t>Presentación de proyecto de redes externas e internas ante Epm. Incluye todos los tramites necesarios para la aprobación del proyecto.</t>
  </si>
  <si>
    <t>Suministro, transporte, instalacion y puesta en servicio de red de alimentación monofásica a 7,62 kV en el sistema de cable cubierto calibre 1/0 AWG, sistema compacto (cable ecológico), incluye todos los elementos necesarios de acuerdo con las normas de EPM, longitud aproximada 45 m, desde poste de llegada de la línea hasta el poste del trasformador de 25 kVA.</t>
  </si>
  <si>
    <t xml:space="preserve">Suministro, transporte e instalacion de un medidor de flujo electromagnetico de electronica compacta de 16" DN400, cuerpo bridado incluye las siguientes actividades: </t>
  </si>
  <si>
    <t>Suministro, transporte  e instalacion de las obras de control y potencia desde el cuarto de contro hasta los instrumentos de medición de caudal y actuador eléctrico de la válvula.</t>
  </si>
  <si>
    <t xml:space="preserve">
Suministro e instalación de tablero de control tipo intemperie en acero inoxidable para los macromedidores de 12" en el tanque La Lucila, incluye los siguientes elementos: 
- Tablero inoxidable calibre 12 y 14 tipo intemperie IP 55, con cerradura para seguridad, (Nota todo accesorio que se instale debe mantener la protección del tablero)
- Sumnistro e instalación de PLC compacto con un equipo base de 14 entradas digitales incluyendo 4 entradas rápidas a 100 kHz, 10 salidas a transistor, incluyendo 2 salidas rápidas a 100 kHz y 2 entradas análogas de 0-10V de 10 bits, Tensión de alimentación: 24 vdc, Temperatura de operación: de -10 a + 55°C para instalación horizontal,  Instalación: Montaje en riel DIN o atornillado sobre una base. Batería de Lithio con no menos de 4 años de vida. Humedad relativa: del 10…95 % (no condensante), Grado de protección: IP 20, Resistencia a las vibraciones: en riel DIN 3gn (8.4…150 Hz), 3.5 mm (5..8,4 Hz). Resistencia mecánica a los golpes (15 gn) a 11 ms, Debe contar con un reloj de tiempo real (RTC). Deberá estar dotado con un interruptor físico para ser conmutado entre los modos Run/Stop.
- Suministro e instalación de fuente de 24 VDC, Tensión de entrada nominal AC:   100 a 240 VAC o mayor que lo incluya, Tensión de entrada nominal DC: 90 a 350 VDC o mayor que lo incluya, Frecuencia de operación: 45 a 65 HZ, Consumo de corriente sin carga: 1,2 A, Puenteo en falla de red: Igual o superior a 30ms, Fusible de entrada: 5 A y 10A, Tipo de protección: Contra sobretensiones transitorias, Circuito de protección: Definido por el fabricante
- Suministro e instalación de UPS Características de salida (Alimentación por la red), Tensión nominal de salida: 24 VDC +/- 1%, Margen ajustable de tensión de salida: 18 VDC a 30VDC, Corriente de salida: 5 A, Corriente de salida con sobre carga: 7,5 A, rendimiento: igual o superior 95%, Características de salida (alimentación por baterías), Tensión nominal de salida: 24VDC +/- 1%, Margen ajustable de tensión de salida: 18 VDC a 27VDC, Corriente de salida: 5 A  Corriente de salida con sobre carga: 7,5 A 
</t>
  </si>
  <si>
    <t xml:space="preserve">Adaptador polietileno hembra y/o macho 1/2" 20 mm </t>
  </si>
  <si>
    <t>Utilidad:</t>
  </si>
  <si>
    <t>Imprevistos:</t>
  </si>
  <si>
    <t>FORMATO PROPUESTA ECONÓMICA OBRA CIVIL</t>
  </si>
  <si>
    <t>FORMATO PROPUESTA ECONÓMICA SUMINISTROS</t>
  </si>
  <si>
    <t>TOTAL PROPUESTA ECONÓMICA ESTIMADO (OBRA CIVIL + SUMINISTRO):</t>
  </si>
  <si>
    <t xml:space="preserve">SUBTOTAL PROPUESTA ECONÓMICA SUMINISTRO: </t>
  </si>
  <si>
    <t xml:space="preserve">SUBTOTAL PROPUESTA ECONÓMICA OBRA CIVIL: </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</si>
</sst>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 #,##0_);[Red]\(&quot;$&quot;\ #,##0\)"/>
    <numFmt numFmtId="41" formatCode="_(* #,##0_);_(* \(#,##0\);_(* &quot;-&quot;_);_(@_)"/>
    <numFmt numFmtId="44" formatCode="_(&quot;$&quot;\ * #,##0.00_);_(&quot;$&quot;\ * \(#,##0.00\);_(&quot;$&quot;\ * &quot;-&quot;??_);_(@_)"/>
    <numFmt numFmtId="43" formatCode="_(* #,##0.00_);_(* \(#,##0.00\);_(* &quot;-&quot;??_);_(@_)"/>
    <numFmt numFmtId="164" formatCode="#,##0.0"/>
    <numFmt numFmtId="165" formatCode="#,##0.0000"/>
    <numFmt numFmtId="166" formatCode="#,##0.00000"/>
    <numFmt numFmtId="167" formatCode="_(&quot;$&quot;\ * #,##0_);_(&quot;$&quot;\ * \(#,##0\);_(&quot;$&quot;\ * &quot;-&quot;??_);_(@_)"/>
    <numFmt numFmtId="168" formatCode="#,##0.00\ _p_t_a"/>
    <numFmt numFmtId="169" formatCode="&quot;$&quot;\ #,##0"/>
    <numFmt numFmtId="170" formatCode="_([$$-240A]\ * #,##0_);_([$$-240A]\ * \(#,##0\);_([$$-240A]\ * &quot;-&quot;??_);_(@_)"/>
    <numFmt numFmtId="171" formatCode="_(* #,##0.0_);_(* \(#,##0.0\);_(* &quot;-&quot;??_);_(@_)"/>
    <numFmt numFmtId="172" formatCode="&quot;$&quot;\ #,##0.00"/>
    <numFmt numFmtId="173" formatCode="&quot;$&quot;#,##0"/>
    <numFmt numFmtId="174" formatCode="0.0"/>
    <numFmt numFmtId="175" formatCode="#,##0\ _p_t_a"/>
    <numFmt numFmtId="176" formatCode="&quot;$&quot;\ #,##0.0"/>
    <numFmt numFmtId="177" formatCode="#,##0.0\ _p_t_a"/>
    <numFmt numFmtId="178" formatCode="#,##0.000\ _p_t_a"/>
    <numFmt numFmtId="179" formatCode="_ * #,##0.00_ ;_ * \-#,##0.00_ ;_ * &quot;-&quot;??_ ;_ @_ "/>
    <numFmt numFmtId="180" formatCode="_(* #,##0_);_(* \(#,##0\);_(* &quot;-&quot;??_);_(@_)"/>
    <numFmt numFmtId="181" formatCode="_(* #,##0.000_);_(* \(#,##0.000\);_(* &quot;-&quot;??_);_(@_)"/>
    <numFmt numFmtId="182" formatCode="[$$-240A]\ #,##0"/>
    <numFmt numFmtId="183" formatCode="#,##0.0000\ _€;[Red]\-#,##0.0000\ _€"/>
    <numFmt numFmtId="184" formatCode="_-* #,##0\ _$_-;\-* #,##0\ _$_-;_-* &quot;-&quot;??\ _$_-;_-@_-"/>
    <numFmt numFmtId="185" formatCode="_ [$$-240A]\ * #,##0_ ;_ [$$-240A]\ * \-#,##0_ ;_ [$$-240A]\ * &quot;-&quot;_ ;_ @_ "/>
    <numFmt numFmtId="186" formatCode="_([$$-240A]\ * #,##0.00_);_([$$-240A]\ * \(#,##0.00\);_([$$-240A]\ * &quot;-&quot;??_);_(@_)"/>
    <numFmt numFmtId="187" formatCode="0.0000"/>
    <numFmt numFmtId="188" formatCode="0.00000"/>
    <numFmt numFmtId="189" formatCode="_(* #,##0.00_);_(* \(#,##0.00\);_(* &quot;-&quot;_);_(@_)"/>
    <numFmt numFmtId="190" formatCode="_(* #,##0.0_);_(* \(#,##0.0\);_(* &quot;-&quot;?_);_(@_)"/>
    <numFmt numFmtId="191" formatCode="_(* #,##0.0_);_(* \(#,##0.0\);_(* &quot;-&quot;_);_(@_)"/>
    <numFmt numFmtId="192" formatCode="_(* #,##0.000_);_(* \(#,##0.000\);_(* &quot;-&quot;_);_(@_)"/>
    <numFmt numFmtId="193" formatCode="0.0%"/>
    <numFmt numFmtId="194" formatCode="_ [$$-240A]\ * #,##0.00000000_ ;_ [$$-240A]\ * \-#,##0.00000000_ ;_ [$$-240A]\ * &quot;-&quot;_ ;_ @_ "/>
  </numFmts>
  <fonts count="50" x14ac:knownFonts="1">
    <font>
      <sz val="11"/>
      <color theme="1"/>
      <name val="Calibri"/>
      <family val="2"/>
      <scheme val="minor"/>
    </font>
    <font>
      <b/>
      <sz val="11"/>
      <color theme="1"/>
      <name val="Calibri"/>
      <family val="2"/>
      <scheme val="minor"/>
    </font>
    <font>
      <sz val="10"/>
      <name val="Arial"/>
      <family val="2"/>
    </font>
    <font>
      <b/>
      <sz val="10"/>
      <name val="Gill Sans MT"/>
      <family val="2"/>
    </font>
    <font>
      <sz val="11"/>
      <color theme="1"/>
      <name val="Calibri"/>
      <family val="2"/>
      <scheme val="minor"/>
    </font>
    <font>
      <sz val="12"/>
      <color theme="1"/>
      <name val="Calibri"/>
      <family val="2"/>
      <scheme val="minor"/>
    </font>
    <font>
      <sz val="8"/>
      <name val="Arial"/>
      <family val="2"/>
    </font>
    <font>
      <sz val="9"/>
      <name val="Calibri"/>
      <family val="2"/>
      <scheme val="minor"/>
    </font>
    <font>
      <b/>
      <sz val="9"/>
      <color theme="1"/>
      <name val="Calibri"/>
      <family val="2"/>
      <scheme val="minor"/>
    </font>
    <font>
      <b/>
      <sz val="12"/>
      <name val="Calibri"/>
      <family val="2"/>
      <scheme val="minor"/>
    </font>
    <font>
      <b/>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6"/>
      <name val="Calibri"/>
      <family val="2"/>
      <scheme val="minor"/>
    </font>
    <font>
      <b/>
      <sz val="11"/>
      <color indexed="8"/>
      <name val="Arial"/>
      <family val="2"/>
    </font>
    <font>
      <sz val="11"/>
      <color indexed="8"/>
      <name val="Arial"/>
      <family val="2"/>
    </font>
    <font>
      <sz val="10"/>
      <color indexed="8"/>
      <name val="Arial"/>
      <family val="2"/>
    </font>
    <font>
      <sz val="11"/>
      <name val="Arial"/>
      <family val="2"/>
    </font>
    <font>
      <b/>
      <sz val="10"/>
      <color indexed="8"/>
      <name val="Arial"/>
      <family val="2"/>
    </font>
    <font>
      <b/>
      <sz val="11"/>
      <name val="Arial"/>
      <family val="2"/>
    </font>
    <font>
      <sz val="11"/>
      <color indexed="8"/>
      <name val="Calibri"/>
      <family val="2"/>
    </font>
    <font>
      <sz val="11"/>
      <color rgb="FF000000"/>
      <name val="Arial"/>
      <family val="2"/>
    </font>
    <font>
      <b/>
      <sz val="11"/>
      <color rgb="FF000000"/>
      <name val="Arial"/>
      <family val="2"/>
    </font>
    <font>
      <sz val="11"/>
      <color rgb="FFFF0000"/>
      <name val="Arial"/>
      <family val="2"/>
    </font>
    <font>
      <sz val="11"/>
      <color rgb="FFFFC000"/>
      <name val="Arial"/>
      <family val="2"/>
    </font>
    <font>
      <b/>
      <sz val="11"/>
      <color rgb="FFFFC000"/>
      <name val="Arial"/>
      <family val="2"/>
    </font>
    <font>
      <sz val="10"/>
      <name val="MS Sans Serif"/>
      <family val="2"/>
    </font>
    <font>
      <sz val="9"/>
      <name val="Arial"/>
      <family val="2"/>
    </font>
    <font>
      <sz val="12"/>
      <name val="Arial"/>
      <family val="2"/>
    </font>
    <font>
      <b/>
      <sz val="10"/>
      <name val="Arial"/>
      <family val="2"/>
    </font>
    <font>
      <b/>
      <sz val="9"/>
      <name val="Arial"/>
      <family val="2"/>
    </font>
    <font>
      <sz val="9"/>
      <color rgb="FFFF0000"/>
      <name val="Arial"/>
      <family val="2"/>
    </font>
    <font>
      <b/>
      <sz val="12"/>
      <color indexed="8"/>
      <name val="Arial"/>
      <family val="2"/>
    </font>
    <font>
      <sz val="11"/>
      <color theme="1"/>
      <name val="Arial"/>
      <family val="2"/>
    </font>
    <font>
      <sz val="12"/>
      <color theme="1"/>
      <name val="Arial"/>
      <family val="2"/>
    </font>
    <font>
      <b/>
      <sz val="12"/>
      <color theme="1"/>
      <name val="Arial"/>
      <family val="2"/>
    </font>
    <font>
      <sz val="11"/>
      <color indexed="8"/>
      <name val="Calibri"/>
      <family val="2"/>
      <scheme val="minor"/>
    </font>
    <font>
      <b/>
      <sz val="11"/>
      <color indexed="8"/>
      <name val="Calibri"/>
      <family val="2"/>
      <scheme val="minor"/>
    </font>
    <font>
      <sz val="11"/>
      <color rgb="FFFF0000"/>
      <name val="Calibri"/>
      <family val="2"/>
      <scheme val="minor"/>
    </font>
    <font>
      <sz val="10"/>
      <name val="Helv"/>
    </font>
    <font>
      <b/>
      <sz val="18"/>
      <name val="Arial"/>
      <family val="2"/>
    </font>
    <font>
      <sz val="10"/>
      <name val="Verdana"/>
      <family val="2"/>
    </font>
    <font>
      <sz val="8"/>
      <color theme="1"/>
      <name val="Arial Narrow"/>
      <family val="2"/>
    </font>
    <font>
      <b/>
      <sz val="8"/>
      <color theme="1"/>
      <name val="Arial Narrow"/>
      <family val="2"/>
    </font>
    <font>
      <b/>
      <sz val="8"/>
      <name val="Arial Narrow"/>
      <family val="2"/>
    </font>
    <font>
      <sz val="8"/>
      <name val="Arial Narrow"/>
      <family val="2"/>
    </font>
    <font>
      <b/>
      <sz val="8"/>
      <color indexed="8"/>
      <name val="Arial Narrow"/>
      <family val="2"/>
    </font>
    <font>
      <sz val="8"/>
      <color indexed="8"/>
      <name val="Arial Narrow"/>
      <family val="2"/>
    </font>
    <font>
      <sz val="8"/>
      <color rgb="FFFF0000"/>
      <name val="Arial Narrow"/>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rgb="FF92D050"/>
        <bgColor rgb="FF00000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indexed="55"/>
        <bgColor indexed="64"/>
      </patternFill>
    </fill>
    <fill>
      <patternFill patternType="lightDown"/>
    </fill>
    <fill>
      <patternFill patternType="solid">
        <fgColor theme="6" tint="0.39997558519241921"/>
        <bgColor indexed="64"/>
      </patternFill>
    </fill>
    <fill>
      <patternFill patternType="solid">
        <fgColor theme="8" tint="0.59999389629810485"/>
        <bgColor indexed="64"/>
      </patternFill>
    </fill>
    <fill>
      <patternFill patternType="solid">
        <fgColor rgb="FF00B0F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medium">
        <color auto="1"/>
      </top>
      <bottom style="hair">
        <color auto="1"/>
      </bottom>
      <diagonal/>
    </border>
    <border>
      <left/>
      <right/>
      <top style="hair">
        <color indexed="64"/>
      </top>
      <bottom style="hair">
        <color indexed="64"/>
      </bottom>
      <diagonal/>
    </border>
    <border>
      <left/>
      <right/>
      <top style="hair">
        <color auto="1"/>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8"/>
      </right>
      <top/>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64"/>
      </right>
      <top/>
      <bottom style="thin">
        <color indexed="8"/>
      </bottom>
      <diagonal/>
    </border>
    <border>
      <left/>
      <right/>
      <top style="thin">
        <color indexed="8"/>
      </top>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64"/>
      </bottom>
      <diagonal/>
    </border>
    <border>
      <left/>
      <right style="thin">
        <color rgb="FF000000"/>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right style="thin">
        <color rgb="FF000000"/>
      </right>
      <top/>
      <bottom/>
      <diagonal/>
    </border>
    <border>
      <left/>
      <right style="medium">
        <color rgb="FF000000"/>
      </right>
      <top/>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double">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style="thin">
        <color indexed="8"/>
      </left>
      <right style="thin">
        <color indexed="8"/>
      </right>
      <top style="thin">
        <color indexed="64"/>
      </top>
      <bottom style="thin">
        <color indexed="8"/>
      </bottom>
      <diagonal/>
    </border>
    <border>
      <left style="medium">
        <color indexed="64"/>
      </left>
      <right style="thin">
        <color indexed="64"/>
      </right>
      <top/>
      <bottom/>
      <diagonal/>
    </border>
    <border>
      <left style="medium">
        <color indexed="64"/>
      </left>
      <right/>
      <top style="thin">
        <color indexed="64"/>
      </top>
      <bottom/>
      <diagonal/>
    </border>
  </borders>
  <cellStyleXfs count="24">
    <xf numFmtId="0" fontId="0" fillId="0" borderId="0"/>
    <xf numFmtId="0" fontId="2" fillId="0" borderId="0"/>
    <xf numFmtId="43" fontId="4" fillId="0" borderId="0" applyFont="0" applyFill="0" applyBorder="0" applyAlignment="0" applyProtection="0"/>
    <xf numFmtId="0" fontId="6" fillId="0" borderId="0">
      <alignment vertical="center"/>
    </xf>
    <xf numFmtId="9" fontId="6"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4"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179" fontId="2" fillId="0" borderId="0" applyFont="0" applyFill="0" applyBorder="0" applyAlignment="0" applyProtection="0"/>
    <xf numFmtId="43" fontId="21" fillId="0" borderId="0" applyFont="0" applyFill="0" applyBorder="0" applyAlignment="0" applyProtection="0"/>
    <xf numFmtId="0" fontId="27" fillId="0" borderId="0"/>
    <xf numFmtId="40" fontId="27" fillId="0" borderId="0" applyFont="0" applyFill="0" applyBorder="0" applyAlignment="0" applyProtection="0"/>
    <xf numFmtId="9" fontId="27" fillId="0" borderId="0" applyFont="0" applyFill="0" applyBorder="0" applyAlignment="0" applyProtection="0"/>
    <xf numFmtId="0" fontId="4" fillId="0" borderId="0"/>
    <xf numFmtId="0" fontId="2" fillId="0" borderId="0"/>
    <xf numFmtId="0" fontId="40" fillId="0" borderId="0"/>
    <xf numFmtId="0" fontId="27" fillId="0" borderId="0"/>
    <xf numFmtId="0" fontId="2" fillId="0" borderId="0"/>
    <xf numFmtId="179" fontId="42" fillId="0" borderId="0" applyFont="0" applyFill="0" applyBorder="0" applyAlignment="0" applyProtection="0"/>
  </cellStyleXfs>
  <cellXfs count="1459">
    <xf numFmtId="0" fontId="0" fillId="0" borderId="0" xfId="0"/>
    <xf numFmtId="0" fontId="0" fillId="0" borderId="0" xfId="0" applyAlignment="1">
      <alignment horizontal="center"/>
    </xf>
    <xf numFmtId="0" fontId="0" fillId="0" borderId="0" xfId="0" applyAlignment="1"/>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5" fillId="0" borderId="0" xfId="0" applyFont="1"/>
    <xf numFmtId="0" fontId="1" fillId="0" borderId="0" xfId="0" applyFont="1" applyAlignment="1">
      <alignment horizontal="center"/>
    </xf>
    <xf numFmtId="0" fontId="7" fillId="0" borderId="2" xfId="3" applyFont="1" applyFill="1" applyBorder="1" applyAlignment="1"/>
    <xf numFmtId="3" fontId="7" fillId="0" borderId="2" xfId="3" applyNumberFormat="1" applyFont="1" applyFill="1" applyBorder="1" applyAlignment="1">
      <alignment horizontal="right" wrapText="1"/>
    </xf>
    <xf numFmtId="0" fontId="7" fillId="0" borderId="3" xfId="3" applyFont="1" applyFill="1" applyBorder="1" applyAlignment="1"/>
    <xf numFmtId="3" fontId="7" fillId="0" borderId="3" xfId="3" applyNumberFormat="1" applyFont="1" applyFill="1" applyBorder="1" applyAlignment="1">
      <alignment horizontal="right" wrapText="1"/>
    </xf>
    <xf numFmtId="3" fontId="8" fillId="0" borderId="3" xfId="3" applyNumberFormat="1" applyFont="1" applyFill="1" applyBorder="1" applyAlignment="1">
      <alignment horizontal="right" wrapText="1"/>
    </xf>
    <xf numFmtId="0" fontId="9" fillId="0" borderId="3" xfId="3" applyFont="1" applyFill="1" applyBorder="1" applyAlignment="1">
      <alignment horizontal="right"/>
    </xf>
    <xf numFmtId="0" fontId="9" fillId="0" borderId="3" xfId="3" applyFont="1" applyFill="1" applyBorder="1" applyAlignment="1"/>
    <xf numFmtId="9" fontId="7" fillId="0" borderId="3" xfId="4" applyFont="1" applyFill="1" applyBorder="1"/>
    <xf numFmtId="0" fontId="7" fillId="3" borderId="3" xfId="3" applyFont="1" applyFill="1" applyBorder="1" applyAlignment="1"/>
    <xf numFmtId="0" fontId="9" fillId="0" borderId="4" xfId="3" applyFont="1" applyFill="1" applyBorder="1" applyAlignment="1"/>
    <xf numFmtId="9" fontId="9" fillId="0" borderId="4" xfId="4" applyFont="1" applyFill="1" applyBorder="1"/>
    <xf numFmtId="0" fontId="11" fillId="0" borderId="0" xfId="0" applyNumberFormat="1" applyFont="1" applyAlignment="1">
      <alignment vertical="top" wrapText="1"/>
    </xf>
    <xf numFmtId="0" fontId="1" fillId="0" borderId="0" xfId="0" applyFont="1" applyAlignment="1"/>
    <xf numFmtId="0" fontId="0" fillId="0" borderId="0" xfId="0"/>
    <xf numFmtId="0" fontId="10" fillId="0" borderId="0" xfId="0" applyFont="1" applyAlignment="1">
      <alignment horizontal="center" vertical="top"/>
    </xf>
    <xf numFmtId="0" fontId="9" fillId="0" borderId="3" xfId="3" applyFont="1" applyFill="1" applyBorder="1" applyAlignment="1">
      <alignment horizontal="left"/>
    </xf>
    <xf numFmtId="3" fontId="0" fillId="0" borderId="0" xfId="0" applyNumberFormat="1"/>
    <xf numFmtId="2" fontId="0" fillId="0" borderId="0" xfId="0" applyNumberFormat="1" applyAlignment="1">
      <alignment horizontal="center"/>
    </xf>
    <xf numFmtId="0" fontId="7" fillId="0" borderId="2" xfId="3" applyFont="1" applyFill="1" applyBorder="1" applyAlignment="1">
      <alignment horizontal="center"/>
    </xf>
    <xf numFmtId="0" fontId="7" fillId="0" borderId="3" xfId="3" applyFont="1" applyFill="1" applyBorder="1" applyAlignment="1">
      <alignment horizontal="center"/>
    </xf>
    <xf numFmtId="0" fontId="9" fillId="0" borderId="3" xfId="3" applyFont="1" applyFill="1" applyBorder="1" applyAlignment="1">
      <alignment horizontal="center"/>
    </xf>
    <xf numFmtId="9" fontId="7" fillId="0" borderId="3" xfId="4" applyFont="1" applyFill="1" applyBorder="1" applyAlignment="1">
      <alignment horizontal="center"/>
    </xf>
    <xf numFmtId="9" fontId="9" fillId="0" borderId="4" xfId="4" applyFont="1" applyFill="1" applyBorder="1" applyAlignment="1">
      <alignment horizontal="center"/>
    </xf>
    <xf numFmtId="0" fontId="12" fillId="0" borderId="0" xfId="0" applyFont="1" applyFill="1" applyAlignment="1">
      <alignment horizontal="center" wrapText="1"/>
    </xf>
    <xf numFmtId="0" fontId="12" fillId="0" borderId="0" xfId="0" applyNumberFormat="1" applyFont="1" applyFill="1" applyAlignment="1">
      <alignment vertical="top" wrapText="1"/>
    </xf>
    <xf numFmtId="0" fontId="16" fillId="4" borderId="1" xfId="0" applyFont="1" applyFill="1" applyBorder="1" applyAlignment="1">
      <alignment horizontal="center" vertical="center"/>
    </xf>
    <xf numFmtId="0" fontId="20" fillId="4" borderId="1" xfId="0" applyFont="1" applyFill="1" applyBorder="1" applyAlignment="1">
      <alignment vertical="center" wrapText="1"/>
    </xf>
    <xf numFmtId="0" fontId="15" fillId="4" borderId="1" xfId="0" applyFont="1" applyFill="1" applyBorder="1" applyAlignment="1">
      <alignment vertical="center" wrapText="1"/>
    </xf>
    <xf numFmtId="0" fontId="0" fillId="4" borderId="1" xfId="0" applyFill="1" applyBorder="1" applyAlignment="1">
      <alignment horizontal="center" vertical="top"/>
    </xf>
    <xf numFmtId="1" fontId="0" fillId="4" borderId="1" xfId="0" applyNumberFormat="1" applyFill="1" applyBorder="1" applyAlignment="1">
      <alignment horizontal="center" vertical="top"/>
    </xf>
    <xf numFmtId="0" fontId="15" fillId="4" borderId="1" xfId="0" applyFont="1" applyFill="1" applyBorder="1" applyAlignment="1">
      <alignment horizontal="center" vertical="center"/>
    </xf>
    <xf numFmtId="3" fontId="12" fillId="4" borderId="1" xfId="0" applyNumberFormat="1" applyFont="1" applyFill="1" applyBorder="1" applyAlignment="1">
      <alignment horizontal="right" wrapText="1"/>
    </xf>
    <xf numFmtId="164" fontId="12" fillId="4" borderId="1" xfId="0" applyNumberFormat="1" applyFont="1" applyFill="1" applyBorder="1" applyAlignment="1">
      <alignment horizontal="right" wrapText="1"/>
    </xf>
    <xf numFmtId="166" fontId="12" fillId="4" borderId="1" xfId="0" applyNumberFormat="1" applyFont="1" applyFill="1" applyBorder="1" applyAlignment="1">
      <alignment horizontal="right" wrapText="1"/>
    </xf>
    <xf numFmtId="2" fontId="13" fillId="4" borderId="1" xfId="0" applyNumberFormat="1" applyFont="1" applyFill="1" applyBorder="1" applyAlignment="1">
      <alignment horizontal="center" vertical="top"/>
    </xf>
    <xf numFmtId="0" fontId="13" fillId="4" borderId="1" xfId="0" applyNumberFormat="1" applyFont="1" applyFill="1" applyBorder="1" applyAlignment="1">
      <alignment vertical="top" wrapText="1"/>
    </xf>
    <xf numFmtId="0" fontId="12" fillId="4" borderId="1" xfId="0" applyFont="1" applyFill="1" applyBorder="1" applyAlignment="1">
      <alignment horizontal="center" wrapText="1"/>
    </xf>
    <xf numFmtId="2" fontId="13" fillId="4" borderId="1" xfId="0" applyNumberFormat="1" applyFont="1" applyFill="1" applyBorder="1" applyAlignment="1">
      <alignment horizontal="left" vertical="top"/>
    </xf>
    <xf numFmtId="0" fontId="12" fillId="0" borderId="0" xfId="0" applyFont="1" applyFill="1"/>
    <xf numFmtId="0" fontId="12" fillId="0" borderId="1" xfId="0" applyFont="1" applyFill="1" applyBorder="1"/>
    <xf numFmtId="167" fontId="12" fillId="0" borderId="1" xfId="5" applyNumberFormat="1" applyFont="1" applyFill="1" applyBorder="1"/>
    <xf numFmtId="44" fontId="12" fillId="0" borderId="1" xfId="5" applyFont="1" applyFill="1" applyBorder="1"/>
    <xf numFmtId="0" fontId="18" fillId="0" borderId="8" xfId="0" applyFont="1" applyFill="1" applyBorder="1" applyAlignment="1">
      <alignment horizont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0" fillId="0" borderId="9" xfId="0" applyFont="1" applyFill="1" applyBorder="1"/>
    <xf numFmtId="0" fontId="18" fillId="0" borderId="0" xfId="0" applyFont="1" applyFill="1" applyBorder="1"/>
    <xf numFmtId="0" fontId="18" fillId="0" borderId="0" xfId="0" applyFont="1" applyFill="1" applyBorder="1" applyAlignment="1">
      <alignment horizontal="center" vertical="center" wrapText="1"/>
    </xf>
    <xf numFmtId="168" fontId="18" fillId="0" borderId="0" xfId="0" applyNumberFormat="1" applyFont="1" applyFill="1" applyBorder="1" applyAlignment="1">
      <alignment horizontal="center" wrapText="1"/>
    </xf>
    <xf numFmtId="2" fontId="18" fillId="0" borderId="10" xfId="0" applyNumberFormat="1" applyFont="1" applyFill="1" applyBorder="1"/>
    <xf numFmtId="0" fontId="18" fillId="0" borderId="9" xfId="0" applyFont="1" applyFill="1" applyBorder="1"/>
    <xf numFmtId="0" fontId="20" fillId="0" borderId="5" xfId="0" applyFont="1" applyFill="1" applyBorder="1" applyAlignment="1">
      <alignment horizontal="center" vertical="center" wrapText="1"/>
    </xf>
    <xf numFmtId="168" fontId="20" fillId="0" borderId="1" xfId="0" applyNumberFormat="1" applyFont="1" applyFill="1" applyBorder="1" applyAlignment="1">
      <alignment horizontal="center" wrapText="1"/>
    </xf>
    <xf numFmtId="2" fontId="20" fillId="0" borderId="8" xfId="0" applyNumberFormat="1" applyFont="1" applyFill="1" applyBorder="1" applyAlignment="1">
      <alignment horizontal="center"/>
    </xf>
    <xf numFmtId="0" fontId="18" fillId="0" borderId="12" xfId="1" applyFont="1" applyFill="1" applyBorder="1" applyAlignment="1">
      <alignment horizontal="center" vertical="center" wrapText="1"/>
    </xf>
    <xf numFmtId="169" fontId="18" fillId="0" borderId="8" xfId="1" applyNumberFormat="1" applyFont="1" applyFill="1" applyBorder="1"/>
    <xf numFmtId="43" fontId="18" fillId="0" borderId="8" xfId="10" applyNumberFormat="1" applyFont="1" applyFill="1" applyBorder="1" applyAlignment="1">
      <alignment vertical="center"/>
    </xf>
    <xf numFmtId="9" fontId="18" fillId="0" borderId="11" xfId="11" applyFont="1" applyFill="1" applyBorder="1" applyAlignment="1">
      <alignment horizontal="left" vertical="center" wrapText="1"/>
    </xf>
    <xf numFmtId="170" fontId="18" fillId="0" borderId="8" xfId="0" applyNumberFormat="1" applyFont="1" applyFill="1" applyBorder="1" applyAlignment="1">
      <alignment horizontal="right" vertical="center" wrapText="1"/>
    </xf>
    <xf numFmtId="0" fontId="18" fillId="0" borderId="10" xfId="1" applyNumberFormat="1" applyFont="1" applyFill="1" applyBorder="1" applyAlignment="1">
      <alignment horizontal="center" vertical="center" wrapText="1"/>
    </xf>
    <xf numFmtId="169" fontId="18" fillId="0" borderId="13" xfId="1" applyNumberFormat="1" applyFont="1" applyFill="1" applyBorder="1"/>
    <xf numFmtId="43" fontId="18" fillId="0" borderId="13" xfId="10" applyNumberFormat="1" applyFont="1" applyFill="1" applyBorder="1" applyAlignment="1">
      <alignment vertical="center"/>
    </xf>
    <xf numFmtId="9" fontId="18" fillId="0" borderId="9" xfId="11" applyFont="1" applyFill="1" applyBorder="1" applyAlignment="1">
      <alignment horizontal="right" vertical="center" wrapText="1"/>
    </xf>
    <xf numFmtId="170" fontId="18" fillId="0" borderId="13" xfId="0" applyNumberFormat="1" applyFont="1" applyFill="1" applyBorder="1" applyAlignment="1">
      <alignment horizontal="right" vertical="center" wrapText="1"/>
    </xf>
    <xf numFmtId="0" fontId="18" fillId="0" borderId="15" xfId="1" applyFont="1" applyFill="1" applyBorder="1" applyAlignment="1">
      <alignment horizontal="center" vertical="center" wrapText="1"/>
    </xf>
    <xf numFmtId="169" fontId="18" fillId="0" borderId="16" xfId="1" applyNumberFormat="1" applyFont="1" applyFill="1" applyBorder="1"/>
    <xf numFmtId="171" fontId="18" fillId="0" borderId="16" xfId="10" applyNumberFormat="1" applyFont="1" applyFill="1" applyBorder="1" applyAlignment="1">
      <alignment vertical="center"/>
    </xf>
    <xf numFmtId="9" fontId="18" fillId="0" borderId="14" xfId="11" applyFont="1" applyFill="1" applyBorder="1"/>
    <xf numFmtId="170" fontId="18" fillId="0" borderId="16" xfId="0" applyNumberFormat="1" applyFont="1" applyFill="1" applyBorder="1" applyAlignment="1">
      <alignment horizontal="right" vertical="center" wrapText="1"/>
    </xf>
    <xf numFmtId="0" fontId="18" fillId="0" borderId="0" xfId="0" applyFont="1" applyFill="1" applyBorder="1" applyAlignment="1">
      <alignment horizontal="left"/>
    </xf>
    <xf numFmtId="0" fontId="18" fillId="0" borderId="0" xfId="0" applyFont="1"/>
    <xf numFmtId="0" fontId="20" fillId="0" borderId="17" xfId="0" applyFont="1" applyFill="1" applyBorder="1" applyAlignment="1">
      <alignment horizontal="right"/>
    </xf>
    <xf numFmtId="169" fontId="18" fillId="0" borderId="16" xfId="0" applyNumberFormat="1" applyFont="1" applyFill="1" applyBorder="1"/>
    <xf numFmtId="0" fontId="20" fillId="0" borderId="20" xfId="0" applyFont="1" applyFill="1" applyBorder="1" applyAlignment="1">
      <alignment horizontal="center" vertical="center" wrapText="1"/>
    </xf>
    <xf numFmtId="0" fontId="20" fillId="0" borderId="20" xfId="0" applyFont="1" applyFill="1" applyBorder="1" applyAlignment="1">
      <alignment horizontal="center"/>
    </xf>
    <xf numFmtId="0" fontId="20" fillId="0" borderId="20" xfId="0" applyFont="1" applyFill="1" applyBorder="1" applyAlignment="1"/>
    <xf numFmtId="2" fontId="20" fillId="0" borderId="21" xfId="0" applyNumberFormat="1" applyFont="1" applyFill="1" applyBorder="1" applyAlignment="1">
      <alignment horizontal="center"/>
    </xf>
    <xf numFmtId="0" fontId="18" fillId="0" borderId="24" xfId="1" applyFont="1" applyFill="1" applyBorder="1" applyAlignment="1">
      <alignment horizontal="center" vertical="center" wrapText="1"/>
    </xf>
    <xf numFmtId="169" fontId="18" fillId="0" borderId="24" xfId="1" applyNumberFormat="1" applyFont="1" applyFill="1" applyBorder="1" applyAlignment="1">
      <alignment vertical="center"/>
    </xf>
    <xf numFmtId="168" fontId="18" fillId="0" borderId="25" xfId="0" applyNumberFormat="1" applyFont="1" applyFill="1" applyBorder="1" applyAlignment="1">
      <alignment horizontal="center" vertical="center" wrapText="1"/>
    </xf>
    <xf numFmtId="168" fontId="18" fillId="0" borderId="26" xfId="0" applyNumberFormat="1" applyFont="1" applyFill="1" applyBorder="1" applyAlignment="1">
      <alignment horizontal="right" wrapText="1"/>
    </xf>
    <xf numFmtId="170" fontId="18" fillId="0" borderId="27" xfId="0" applyNumberFormat="1" applyFont="1" applyFill="1" applyBorder="1" applyAlignment="1">
      <alignment vertical="center"/>
    </xf>
    <xf numFmtId="0" fontId="18" fillId="0" borderId="13" xfId="1" applyNumberFormat="1" applyFont="1" applyFill="1" applyBorder="1" applyAlignment="1">
      <alignment horizontal="center" vertical="center" wrapText="1"/>
    </xf>
    <xf numFmtId="169" fontId="18" fillId="0" borderId="13" xfId="1" applyNumberFormat="1" applyFont="1" applyFill="1" applyBorder="1" applyAlignment="1">
      <alignment vertical="center"/>
    </xf>
    <xf numFmtId="168" fontId="18" fillId="0" borderId="10" xfId="0" applyNumberFormat="1" applyFont="1" applyFill="1" applyBorder="1" applyAlignment="1">
      <alignment horizontal="right" wrapText="1"/>
    </xf>
    <xf numFmtId="168" fontId="18" fillId="0" borderId="26" xfId="0" applyNumberFormat="1" applyFont="1" applyFill="1" applyBorder="1" applyAlignment="1">
      <alignment horizontal="right" vertical="center" wrapText="1"/>
    </xf>
    <xf numFmtId="169" fontId="18" fillId="0" borderId="13" xfId="0" applyNumberFormat="1" applyFont="1" applyFill="1" applyBorder="1" applyAlignment="1">
      <alignment vertical="center"/>
    </xf>
    <xf numFmtId="168" fontId="18" fillId="0" borderId="13" xfId="0" applyNumberFormat="1" applyFont="1" applyFill="1" applyBorder="1" applyAlignment="1">
      <alignment horizontal="center" vertical="center" wrapText="1"/>
    </xf>
    <xf numFmtId="0" fontId="18" fillId="0" borderId="28" xfId="0" applyFont="1" applyFill="1" applyBorder="1"/>
    <xf numFmtId="0" fontId="18" fillId="0" borderId="29" xfId="0" applyFont="1" applyFill="1" applyBorder="1"/>
    <xf numFmtId="0" fontId="18" fillId="0" borderId="30" xfId="0" applyFont="1" applyFill="1" applyBorder="1" applyAlignment="1">
      <alignment horizontal="center" vertical="center" wrapText="1"/>
    </xf>
    <xf numFmtId="172" fontId="18" fillId="0" borderId="30" xfId="0" applyNumberFormat="1" applyFont="1" applyFill="1" applyBorder="1"/>
    <xf numFmtId="168" fontId="18" fillId="0" borderId="30" xfId="0" applyNumberFormat="1" applyFont="1" applyFill="1" applyBorder="1" applyAlignment="1">
      <alignment horizontal="center" wrapText="1"/>
    </xf>
    <xf numFmtId="0" fontId="18" fillId="0" borderId="30" xfId="0" applyFont="1" applyFill="1" applyBorder="1"/>
    <xf numFmtId="2" fontId="18" fillId="0" borderId="27" xfId="0" applyNumberFormat="1" applyFont="1" applyFill="1" applyBorder="1"/>
    <xf numFmtId="0" fontId="20" fillId="0" borderId="0" xfId="0" applyFont="1" applyFill="1" applyBorder="1" applyAlignment="1">
      <alignment horizontal="right"/>
    </xf>
    <xf numFmtId="170" fontId="18" fillId="0" borderId="1" xfId="0" applyNumberFormat="1" applyFont="1" applyFill="1" applyBorder="1"/>
    <xf numFmtId="0" fontId="18" fillId="0" borderId="31" xfId="0" applyNumberFormat="1" applyFont="1" applyFill="1" applyBorder="1" applyAlignment="1">
      <alignment wrapText="1"/>
    </xf>
    <xf numFmtId="173" fontId="18" fillId="0" borderId="26" xfId="0" applyNumberFormat="1" applyFont="1" applyFill="1" applyBorder="1" applyAlignment="1">
      <alignment horizontal="center" vertical="center" wrapText="1"/>
    </xf>
    <xf numFmtId="43" fontId="18" fillId="0" borderId="26" xfId="10" applyFont="1" applyFill="1" applyBorder="1" applyAlignment="1">
      <alignment horizontal="center" vertical="center" wrapText="1"/>
    </xf>
    <xf numFmtId="169" fontId="18" fillId="0" borderId="26" xfId="0" applyNumberFormat="1" applyFont="1" applyFill="1" applyBorder="1"/>
    <xf numFmtId="169" fontId="18" fillId="0" borderId="27" xfId="0" applyNumberFormat="1" applyFont="1" applyFill="1" applyBorder="1"/>
    <xf numFmtId="0" fontId="18" fillId="0" borderId="25" xfId="0" applyFont="1" applyFill="1" applyBorder="1" applyAlignment="1">
      <alignment horizontal="left"/>
    </xf>
    <xf numFmtId="0" fontId="18" fillId="0" borderId="25" xfId="0" applyFont="1" applyFill="1" applyBorder="1"/>
    <xf numFmtId="172" fontId="18" fillId="0" borderId="26" xfId="0" applyNumberFormat="1" applyFont="1" applyFill="1" applyBorder="1"/>
    <xf numFmtId="0" fontId="18" fillId="0" borderId="26" xfId="0" applyFont="1" applyFill="1" applyBorder="1" applyAlignment="1">
      <alignment horizontal="center" vertical="center" wrapText="1"/>
    </xf>
    <xf numFmtId="0" fontId="18" fillId="0" borderId="26" xfId="0" applyFont="1" applyFill="1" applyBorder="1"/>
    <xf numFmtId="172" fontId="18" fillId="0" borderId="27" xfId="0" applyNumberFormat="1" applyFont="1" applyFill="1" applyBorder="1"/>
    <xf numFmtId="172" fontId="18" fillId="0" borderId="32" xfId="0" applyNumberFormat="1" applyFont="1" applyFill="1" applyBorder="1"/>
    <xf numFmtId="0" fontId="20" fillId="0" borderId="33" xfId="0" applyFont="1" applyFill="1" applyBorder="1" applyAlignment="1">
      <alignment horizontal="right"/>
    </xf>
    <xf numFmtId="169" fontId="18" fillId="0" borderId="21" xfId="0" applyNumberFormat="1" applyFont="1" applyFill="1" applyBorder="1"/>
    <xf numFmtId="169" fontId="18" fillId="0" borderId="10" xfId="0" applyNumberFormat="1" applyFont="1" applyFill="1" applyBorder="1"/>
    <xf numFmtId="0" fontId="18" fillId="0" borderId="14" xfId="0" applyFont="1" applyFill="1" applyBorder="1"/>
    <xf numFmtId="0" fontId="18" fillId="0" borderId="34" xfId="0" applyFont="1" applyFill="1" applyBorder="1"/>
    <xf numFmtId="0" fontId="18" fillId="0" borderId="34" xfId="0" applyFont="1" applyBorder="1"/>
    <xf numFmtId="0" fontId="18" fillId="0" borderId="34" xfId="0" applyFont="1" applyFill="1" applyBorder="1" applyAlignment="1">
      <alignment horizontal="center" vertical="center" wrapText="1"/>
    </xf>
    <xf numFmtId="0" fontId="20" fillId="0" borderId="34" xfId="0" applyFont="1" applyFill="1" applyBorder="1" applyAlignment="1">
      <alignment horizontal="right"/>
    </xf>
    <xf numFmtId="169" fontId="18" fillId="4" borderId="1" xfId="0" applyNumberFormat="1" applyFont="1" applyFill="1" applyBorder="1" applyProtection="1"/>
    <xf numFmtId="168" fontId="18" fillId="0" borderId="0" xfId="0" applyNumberFormat="1" applyFont="1" applyFill="1" applyBorder="1" applyAlignment="1">
      <alignment horizontal="right" wrapText="1"/>
    </xf>
    <xf numFmtId="174" fontId="18" fillId="0" borderId="11" xfId="11" applyNumberFormat="1" applyFont="1" applyFill="1" applyBorder="1" applyAlignment="1">
      <alignment horizontal="right" vertical="center" wrapText="1"/>
    </xf>
    <xf numFmtId="174" fontId="18" fillId="0" borderId="9" xfId="11" applyNumberFormat="1" applyFont="1" applyFill="1" applyBorder="1" applyAlignment="1">
      <alignment horizontal="right" vertical="center" wrapText="1"/>
    </xf>
    <xf numFmtId="9" fontId="18" fillId="0" borderId="9" xfId="11" applyFont="1" applyFill="1" applyBorder="1" applyAlignment="1">
      <alignment horizontal="left" vertical="center" wrapText="1"/>
    </xf>
    <xf numFmtId="0" fontId="18" fillId="0" borderId="0" xfId="0" applyFont="1" applyFill="1"/>
    <xf numFmtId="169" fontId="18" fillId="0" borderId="13" xfId="0" applyNumberFormat="1" applyFont="1" applyFill="1" applyBorder="1"/>
    <xf numFmtId="168" fontId="18" fillId="0" borderId="26" xfId="0" applyNumberFormat="1" applyFont="1" applyFill="1" applyBorder="1" applyAlignment="1">
      <alignment horizontal="center" wrapText="1"/>
    </xf>
    <xf numFmtId="170" fontId="18" fillId="0" borderId="27" xfId="0" applyNumberFormat="1" applyFont="1" applyFill="1" applyBorder="1"/>
    <xf numFmtId="0" fontId="12" fillId="0" borderId="0" xfId="0" applyFont="1" applyFill="1" applyBorder="1"/>
    <xf numFmtId="0" fontId="18" fillId="0" borderId="25" xfId="0" applyNumberFormat="1" applyFont="1" applyFill="1" applyBorder="1" applyAlignment="1">
      <alignment wrapText="1"/>
    </xf>
    <xf numFmtId="0" fontId="18" fillId="0" borderId="25" xfId="0" applyFont="1" applyFill="1" applyBorder="1" applyAlignment="1">
      <alignment wrapText="1"/>
    </xf>
    <xf numFmtId="2" fontId="18" fillId="0" borderId="11" xfId="11" applyNumberFormat="1" applyFont="1" applyFill="1" applyBorder="1" applyAlignment="1">
      <alignment horizontal="right" vertical="center" wrapText="1"/>
    </xf>
    <xf numFmtId="168" fontId="18" fillId="0" borderId="13" xfId="0" applyNumberFormat="1" applyFont="1" applyFill="1" applyBorder="1" applyAlignment="1">
      <alignment horizontal="center" wrapText="1"/>
    </xf>
    <xf numFmtId="175" fontId="18" fillId="0" borderId="26" xfId="0" applyNumberFormat="1" applyFont="1" applyFill="1" applyBorder="1" applyAlignment="1">
      <alignment horizontal="right" wrapText="1"/>
    </xf>
    <xf numFmtId="169" fontId="18" fillId="0" borderId="8" xfId="1" applyNumberFormat="1" applyFont="1" applyFill="1" applyBorder="1" applyAlignment="1">
      <alignment vertical="center"/>
    </xf>
    <xf numFmtId="10" fontId="18" fillId="0" borderId="9" xfId="11" applyNumberFormat="1" applyFont="1" applyFill="1" applyBorder="1" applyAlignment="1">
      <alignment horizontal="right" vertical="center" wrapText="1"/>
    </xf>
    <xf numFmtId="43" fontId="18" fillId="0" borderId="16" xfId="10" applyNumberFormat="1" applyFont="1" applyFill="1" applyBorder="1" applyAlignment="1">
      <alignment vertical="center"/>
    </xf>
    <xf numFmtId="176" fontId="18" fillId="0" borderId="13" xfId="1" applyNumberFormat="1" applyFont="1" applyFill="1" applyBorder="1" applyAlignment="1">
      <alignment vertical="center"/>
    </xf>
    <xf numFmtId="177" fontId="18" fillId="0" borderId="26" xfId="0" applyNumberFormat="1" applyFont="1" applyFill="1" applyBorder="1" applyAlignment="1">
      <alignment horizontal="right" wrapText="1"/>
    </xf>
    <xf numFmtId="0" fontId="22" fillId="0" borderId="1" xfId="1" applyFont="1" applyFill="1" applyBorder="1" applyAlignment="1">
      <alignment horizontal="center"/>
    </xf>
    <xf numFmtId="0" fontId="23" fillId="0" borderId="1" xfId="1" applyFont="1" applyFill="1" applyBorder="1" applyAlignment="1">
      <alignment horizontal="center" vertical="center"/>
    </xf>
    <xf numFmtId="0" fontId="20" fillId="5" borderId="16" xfId="1" applyFont="1" applyFill="1" applyBorder="1" applyAlignment="1">
      <alignment horizontal="center" vertical="top"/>
    </xf>
    <xf numFmtId="0" fontId="22" fillId="5" borderId="1" xfId="1" applyFont="1" applyFill="1" applyBorder="1" applyAlignment="1">
      <alignment horizontal="center" vertical="top"/>
    </xf>
    <xf numFmtId="0" fontId="15" fillId="0" borderId="1" xfId="0" applyFont="1" applyFill="1" applyBorder="1"/>
    <xf numFmtId="0" fontId="18" fillId="0" borderId="1" xfId="0" applyFont="1" applyFill="1" applyBorder="1"/>
    <xf numFmtId="0" fontId="18" fillId="0" borderId="1" xfId="0" applyFont="1" applyFill="1" applyBorder="1" applyAlignment="1">
      <alignment horizontal="center" vertical="center" wrapText="1"/>
    </xf>
    <xf numFmtId="168" fontId="18" fillId="0" borderId="1" xfId="0" applyNumberFormat="1" applyFont="1" applyFill="1" applyBorder="1" applyAlignment="1">
      <alignment horizontal="center" wrapText="1"/>
    </xf>
    <xf numFmtId="0" fontId="16" fillId="0" borderId="1" xfId="0" applyFont="1" applyFill="1" applyBorder="1"/>
    <xf numFmtId="2" fontId="18" fillId="0" borderId="1" xfId="0" applyNumberFormat="1"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center"/>
    </xf>
    <xf numFmtId="168" fontId="15" fillId="0" borderId="1" xfId="0" applyNumberFormat="1" applyFont="1" applyFill="1" applyBorder="1" applyAlignment="1">
      <alignment horizontal="center" wrapText="1"/>
    </xf>
    <xf numFmtId="2" fontId="15" fillId="0" borderId="1" xfId="0" applyNumberFormat="1" applyFont="1" applyFill="1" applyBorder="1" applyAlignment="1">
      <alignment horizontal="center"/>
    </xf>
    <xf numFmtId="0" fontId="16" fillId="0" borderId="1" xfId="1" applyNumberFormat="1" applyFont="1" applyFill="1" applyBorder="1" applyAlignment="1">
      <alignment horizontal="center" vertical="center" wrapText="1"/>
    </xf>
    <xf numFmtId="169" fontId="16" fillId="0" borderId="1" xfId="1" applyNumberFormat="1" applyFont="1" applyFill="1" applyBorder="1" applyAlignment="1">
      <alignment vertical="center"/>
    </xf>
    <xf numFmtId="43" fontId="16" fillId="0" borderId="1" xfId="10" applyNumberFormat="1" applyFont="1" applyFill="1" applyBorder="1" applyAlignment="1">
      <alignment vertical="center"/>
    </xf>
    <xf numFmtId="9" fontId="16" fillId="0" borderId="1" xfId="11" applyFont="1" applyFill="1" applyBorder="1" applyAlignment="1">
      <alignment horizontal="left" vertical="center" wrapText="1"/>
    </xf>
    <xf numFmtId="170" fontId="16" fillId="0" borderId="1" xfId="0" applyNumberFormat="1" applyFont="1" applyFill="1" applyBorder="1" applyAlignment="1">
      <alignment horizontal="right" vertical="center" wrapText="1"/>
    </xf>
    <xf numFmtId="0" fontId="16" fillId="0" borderId="1" xfId="1" applyFont="1" applyFill="1" applyBorder="1" applyAlignment="1">
      <alignment horizontal="center" vertical="center" wrapText="1"/>
    </xf>
    <xf numFmtId="169" fontId="16" fillId="0" borderId="1" xfId="1" applyNumberFormat="1" applyFont="1" applyFill="1" applyBorder="1"/>
    <xf numFmtId="171" fontId="16" fillId="0" borderId="1" xfId="10" applyNumberFormat="1" applyFont="1" applyFill="1" applyBorder="1" applyAlignment="1">
      <alignment vertical="center"/>
    </xf>
    <xf numFmtId="9" fontId="16" fillId="0" borderId="1" xfId="11" applyFont="1" applyFill="1" applyBorder="1"/>
    <xf numFmtId="0" fontId="15" fillId="0" borderId="1" xfId="0" applyFont="1" applyFill="1" applyBorder="1" applyAlignment="1">
      <alignment horizontal="right"/>
    </xf>
    <xf numFmtId="169" fontId="16" fillId="0" borderId="1" xfId="0" applyNumberFormat="1" applyFont="1" applyFill="1" applyBorder="1"/>
    <xf numFmtId="0" fontId="15" fillId="0" borderId="1" xfId="0" applyFont="1" applyFill="1" applyBorder="1" applyAlignment="1"/>
    <xf numFmtId="168" fontId="16" fillId="0" borderId="1" xfId="0" applyNumberFormat="1" applyFont="1" applyFill="1" applyBorder="1" applyAlignment="1">
      <alignment horizontal="center" vertical="center" wrapText="1"/>
    </xf>
    <xf numFmtId="168" fontId="16" fillId="0" borderId="1" xfId="0" applyNumberFormat="1" applyFont="1" applyFill="1" applyBorder="1" applyAlignment="1">
      <alignment horizontal="right" wrapText="1"/>
    </xf>
    <xf numFmtId="170" fontId="16" fillId="0" borderId="1" xfId="0" applyNumberFormat="1" applyFont="1" applyFill="1" applyBorder="1" applyAlignment="1">
      <alignment vertical="center"/>
    </xf>
    <xf numFmtId="168" fontId="16" fillId="0" borderId="1" xfId="0" applyNumberFormat="1" applyFont="1" applyFill="1" applyBorder="1" applyAlignment="1">
      <alignment horizontal="right" vertical="center" wrapText="1"/>
    </xf>
    <xf numFmtId="168" fontId="16" fillId="0" borderId="1" xfId="0" applyNumberFormat="1" applyFont="1" applyFill="1" applyBorder="1" applyAlignment="1">
      <alignment horizontal="center" wrapText="1"/>
    </xf>
    <xf numFmtId="0" fontId="16" fillId="0" borderId="1" xfId="0" applyFont="1" applyFill="1" applyBorder="1" applyAlignment="1">
      <alignment horizontal="center" vertical="center" wrapText="1"/>
    </xf>
    <xf numFmtId="170" fontId="16" fillId="0" borderId="1" xfId="0" applyNumberFormat="1" applyFont="1" applyFill="1" applyBorder="1"/>
    <xf numFmtId="172" fontId="16" fillId="0" borderId="1" xfId="0" applyNumberFormat="1" applyFont="1" applyFill="1" applyBorder="1"/>
    <xf numFmtId="2" fontId="16" fillId="0" borderId="1" xfId="0" applyNumberFormat="1" applyFont="1" applyFill="1" applyBorder="1"/>
    <xf numFmtId="0" fontId="16" fillId="0" borderId="1" xfId="0" applyNumberFormat="1" applyFont="1" applyFill="1" applyBorder="1" applyAlignment="1">
      <alignment wrapText="1"/>
    </xf>
    <xf numFmtId="173" fontId="16" fillId="0" borderId="1" xfId="0" applyNumberFormat="1" applyFont="1" applyFill="1" applyBorder="1" applyAlignment="1">
      <alignment horizontal="center" vertical="center" wrapText="1"/>
    </xf>
    <xf numFmtId="0" fontId="18" fillId="0" borderId="1" xfId="1" applyFont="1" applyFill="1" applyBorder="1"/>
    <xf numFmtId="169" fontId="22" fillId="0" borderId="1" xfId="0" applyNumberFormat="1" applyFont="1" applyFill="1" applyBorder="1"/>
    <xf numFmtId="43" fontId="16" fillId="0" borderId="1" xfId="10" applyFont="1" applyFill="1" applyBorder="1" applyAlignment="1">
      <alignment horizontal="center" vertical="center" wrapText="1"/>
    </xf>
    <xf numFmtId="169" fontId="16" fillId="4" borderId="1" xfId="0" applyNumberFormat="1" applyFont="1" applyFill="1" applyBorder="1" applyProtection="1"/>
    <xf numFmtId="0" fontId="20" fillId="5" borderId="16" xfId="1" applyFont="1" applyFill="1" applyBorder="1" applyAlignment="1">
      <alignment horizontal="center"/>
    </xf>
    <xf numFmtId="0" fontId="22" fillId="5" borderId="1" xfId="1" applyFont="1" applyFill="1" applyBorder="1" applyAlignment="1">
      <alignment horizontal="center" vertical="center"/>
    </xf>
    <xf numFmtId="167" fontId="16" fillId="0" borderId="1" xfId="5" applyNumberFormat="1" applyFont="1" applyFill="1" applyBorder="1" applyAlignment="1">
      <alignment vertical="center"/>
    </xf>
    <xf numFmtId="0" fontId="18" fillId="0" borderId="8" xfId="1" applyNumberFormat="1" applyFont="1" applyFill="1" applyBorder="1" applyAlignment="1">
      <alignment horizontal="center" vertical="center" wrapText="1"/>
    </xf>
    <xf numFmtId="169" fontId="18" fillId="0" borderId="0" xfId="1" applyNumberFormat="1" applyFont="1" applyFill="1" applyBorder="1" applyAlignment="1">
      <alignment vertical="center"/>
    </xf>
    <xf numFmtId="9" fontId="18" fillId="0" borderId="0" xfId="11" applyFont="1" applyFill="1" applyBorder="1" applyAlignment="1">
      <alignment horizontal="right" vertical="center" wrapText="1"/>
    </xf>
    <xf numFmtId="169" fontId="18" fillId="0" borderId="0" xfId="1" applyNumberFormat="1" applyFont="1" applyFill="1" applyBorder="1"/>
    <xf numFmtId="0" fontId="18" fillId="0" borderId="13" xfId="1" applyFont="1" applyFill="1" applyBorder="1" applyAlignment="1">
      <alignment horizontal="center" vertical="center" wrapText="1"/>
    </xf>
    <xf numFmtId="9" fontId="18" fillId="0" borderId="0" xfId="11" applyFont="1" applyFill="1" applyBorder="1"/>
    <xf numFmtId="0" fontId="18" fillId="0" borderId="16" xfId="1" applyFont="1" applyFill="1" applyBorder="1" applyAlignment="1">
      <alignment horizontal="center" vertical="center" wrapText="1"/>
    </xf>
    <xf numFmtId="169" fontId="18" fillId="0" borderId="34" xfId="1" applyNumberFormat="1" applyFont="1" applyFill="1" applyBorder="1"/>
    <xf numFmtId="9" fontId="18" fillId="0" borderId="34" xfId="11" applyFont="1" applyFill="1" applyBorder="1"/>
    <xf numFmtId="169" fontId="18" fillId="0" borderId="0" xfId="1" applyNumberFormat="1" applyFont="1" applyFill="1" applyBorder="1" applyAlignment="1">
      <alignment horizontal="center" vertical="center"/>
    </xf>
    <xf numFmtId="0" fontId="18" fillId="0" borderId="35" xfId="0" applyFont="1" applyFill="1" applyBorder="1" applyAlignment="1">
      <alignment wrapText="1"/>
    </xf>
    <xf numFmtId="173" fontId="18" fillId="0" borderId="36" xfId="0" applyNumberFormat="1" applyFont="1" applyFill="1" applyBorder="1" applyAlignment="1">
      <alignment horizontal="center" vertical="center" wrapText="1"/>
    </xf>
    <xf numFmtId="43" fontId="18" fillId="0" borderId="36" xfId="10" applyFont="1" applyFill="1" applyBorder="1" applyAlignment="1">
      <alignment horizontal="center" vertical="center" wrapText="1"/>
    </xf>
    <xf numFmtId="169" fontId="18" fillId="0" borderId="36" xfId="0" applyNumberFormat="1" applyFont="1" applyFill="1" applyBorder="1"/>
    <xf numFmtId="173" fontId="18" fillId="0" borderId="38" xfId="0" applyNumberFormat="1" applyFont="1" applyFill="1" applyBorder="1" applyAlignment="1">
      <alignment horizontal="center" vertical="center" wrapText="1"/>
    </xf>
    <xf numFmtId="43" fontId="18" fillId="0" borderId="38" xfId="10" applyFont="1" applyFill="1" applyBorder="1" applyAlignment="1">
      <alignment horizontal="center" vertical="center" wrapText="1"/>
    </xf>
    <xf numFmtId="0" fontId="18" fillId="0" borderId="11" xfId="0" applyFont="1" applyFill="1" applyBorder="1" applyAlignment="1"/>
    <xf numFmtId="0" fontId="18" fillId="0" borderId="37" xfId="0" applyFont="1" applyFill="1" applyBorder="1" applyAlignment="1"/>
    <xf numFmtId="169" fontId="18" fillId="3" borderId="1" xfId="0" applyNumberFormat="1" applyFont="1" applyFill="1" applyBorder="1" applyProtection="1"/>
    <xf numFmtId="0" fontId="23" fillId="5" borderId="16" xfId="1" applyFont="1" applyFill="1" applyBorder="1" applyAlignment="1">
      <alignment horizontal="center"/>
    </xf>
    <xf numFmtId="0" fontId="18" fillId="0" borderId="9" xfId="1" applyFont="1" applyFill="1" applyBorder="1"/>
    <xf numFmtId="0" fontId="18" fillId="0" borderId="0" xfId="1" applyFont="1" applyFill="1" applyBorder="1" applyAlignment="1">
      <alignment horizontal="left"/>
    </xf>
    <xf numFmtId="0" fontId="18" fillId="0" borderId="0" xfId="1" applyFont="1" applyFill="1" applyBorder="1" applyAlignment="1">
      <alignment horizontal="center" vertical="center" wrapText="1"/>
    </xf>
    <xf numFmtId="0" fontId="18" fillId="0" borderId="0" xfId="1" applyFont="1" applyFill="1" applyBorder="1"/>
    <xf numFmtId="168" fontId="18" fillId="0" borderId="0" xfId="1" applyNumberFormat="1" applyFont="1" applyFill="1" applyBorder="1" applyAlignment="1">
      <alignment horizontal="center" wrapText="1"/>
    </xf>
    <xf numFmtId="0" fontId="22" fillId="0" borderId="0" xfId="1" applyFont="1" applyFill="1" applyBorder="1"/>
    <xf numFmtId="2" fontId="18" fillId="0" borderId="10" xfId="1" applyNumberFormat="1" applyFont="1" applyFill="1" applyBorder="1"/>
    <xf numFmtId="0" fontId="23" fillId="0" borderId="9" xfId="1" applyFont="1" applyFill="1" applyBorder="1"/>
    <xf numFmtId="0" fontId="23" fillId="0" borderId="5" xfId="1" applyFont="1" applyFill="1" applyBorder="1" applyAlignment="1">
      <alignment horizontal="center" vertical="center" wrapText="1"/>
    </xf>
    <xf numFmtId="168" fontId="23" fillId="0" borderId="1" xfId="1" applyNumberFormat="1" applyFont="1" applyFill="1" applyBorder="1" applyAlignment="1">
      <alignment horizontal="center" wrapText="1"/>
    </xf>
    <xf numFmtId="2" fontId="23" fillId="0" borderId="8" xfId="1" applyNumberFormat="1" applyFont="1" applyFill="1" applyBorder="1" applyAlignment="1">
      <alignment horizontal="center"/>
    </xf>
    <xf numFmtId="43" fontId="22" fillId="0" borderId="40" xfId="10" applyFont="1" applyFill="1" applyBorder="1" applyAlignment="1">
      <alignment horizontal="center" vertical="center" wrapText="1"/>
    </xf>
    <xf numFmtId="169" fontId="22" fillId="0" borderId="13" xfId="1" applyNumberFormat="1" applyFont="1" applyFill="1" applyBorder="1"/>
    <xf numFmtId="168" fontId="22" fillId="0" borderId="40" xfId="1" applyNumberFormat="1" applyFont="1" applyFill="1" applyBorder="1" applyAlignment="1">
      <alignment horizontal="right" wrapText="1"/>
    </xf>
    <xf numFmtId="10" fontId="22" fillId="0" borderId="40" xfId="1" applyNumberFormat="1" applyFont="1" applyFill="1" applyBorder="1" applyAlignment="1">
      <alignment horizontal="right" wrapText="1"/>
    </xf>
    <xf numFmtId="169" fontId="22" fillId="0" borderId="41" xfId="1" applyNumberFormat="1" applyFont="1" applyFill="1" applyBorder="1"/>
    <xf numFmtId="0" fontId="22" fillId="0" borderId="10" xfId="1" applyNumberFormat="1" applyFont="1" applyFill="1" applyBorder="1" applyAlignment="1">
      <alignment horizontal="center" vertical="center" wrapText="1"/>
    </xf>
    <xf numFmtId="43" fontId="22" fillId="0" borderId="13" xfId="10" applyNumberFormat="1" applyFont="1" applyFill="1" applyBorder="1" applyAlignment="1">
      <alignment vertical="center"/>
    </xf>
    <xf numFmtId="9" fontId="22" fillId="0" borderId="9" xfId="12" applyFont="1" applyFill="1" applyBorder="1" applyAlignment="1">
      <alignment horizontal="right" vertical="center" wrapText="1"/>
    </xf>
    <xf numFmtId="170" fontId="22" fillId="0" borderId="13" xfId="1" applyNumberFormat="1" applyFont="1" applyFill="1" applyBorder="1" applyAlignment="1">
      <alignment horizontal="right" vertical="center" wrapText="1"/>
    </xf>
    <xf numFmtId="0" fontId="22" fillId="0" borderId="10" xfId="1" applyFont="1" applyFill="1" applyBorder="1" applyAlignment="1">
      <alignment horizontal="center" vertical="center" wrapText="1"/>
    </xf>
    <xf numFmtId="0" fontId="22" fillId="0" borderId="15" xfId="1" applyFont="1" applyFill="1" applyBorder="1" applyAlignment="1">
      <alignment horizontal="center" vertical="center" wrapText="1"/>
    </xf>
    <xf numFmtId="169" fontId="22" fillId="0" borderId="16" xfId="1" applyNumberFormat="1" applyFont="1" applyFill="1" applyBorder="1"/>
    <xf numFmtId="43" fontId="22" fillId="0" borderId="16" xfId="10" applyNumberFormat="1" applyFont="1" applyFill="1" applyBorder="1" applyAlignment="1">
      <alignment vertical="center"/>
    </xf>
    <xf numFmtId="9" fontId="22" fillId="0" borderId="14" xfId="12" applyFont="1" applyFill="1" applyBorder="1"/>
    <xf numFmtId="0" fontId="23" fillId="0" borderId="43" xfId="1" applyFont="1" applyFill="1" applyBorder="1" applyAlignment="1">
      <alignment horizontal="right"/>
    </xf>
    <xf numFmtId="0" fontId="23" fillId="0" borderId="46" xfId="1" applyFont="1" applyFill="1" applyBorder="1" applyAlignment="1">
      <alignment horizontal="center" vertical="center" wrapText="1"/>
    </xf>
    <xf numFmtId="0" fontId="23" fillId="0" borderId="46" xfId="1" applyFont="1" applyFill="1" applyBorder="1" applyAlignment="1">
      <alignment horizontal="center"/>
    </xf>
    <xf numFmtId="0" fontId="23" fillId="0" borderId="46" xfId="1" applyFont="1" applyFill="1" applyBorder="1" applyAlignment="1"/>
    <xf numFmtId="2" fontId="23" fillId="0" borderId="47" xfId="1" applyNumberFormat="1" applyFont="1" applyFill="1" applyBorder="1" applyAlignment="1">
      <alignment horizontal="center"/>
    </xf>
    <xf numFmtId="0" fontId="22" fillId="0" borderId="50" xfId="1" applyFont="1" applyFill="1" applyBorder="1" applyAlignment="1">
      <alignment horizontal="center" vertical="center" wrapText="1"/>
    </xf>
    <xf numFmtId="169" fontId="22" fillId="0" borderId="50" xfId="1" applyNumberFormat="1" applyFont="1" applyFill="1" applyBorder="1" applyAlignment="1">
      <alignment vertical="center"/>
    </xf>
    <xf numFmtId="168" fontId="22" fillId="0" borderId="42" xfId="1" applyNumberFormat="1" applyFont="1" applyFill="1" applyBorder="1" applyAlignment="1">
      <alignment horizontal="center" vertical="center" wrapText="1"/>
    </xf>
    <xf numFmtId="170" fontId="22" fillId="0" borderId="41" xfId="1" applyNumberFormat="1" applyFont="1" applyFill="1" applyBorder="1" applyAlignment="1">
      <alignment vertical="center"/>
    </xf>
    <xf numFmtId="0" fontId="22" fillId="0" borderId="13" xfId="1" applyNumberFormat="1" applyFont="1" applyFill="1" applyBorder="1" applyAlignment="1">
      <alignment horizontal="center" vertical="center" wrapText="1"/>
    </xf>
    <xf numFmtId="168" fontId="22" fillId="0" borderId="13" xfId="1" applyNumberFormat="1" applyFont="1" applyFill="1" applyBorder="1" applyAlignment="1">
      <alignment horizontal="center" wrapText="1"/>
    </xf>
    <xf numFmtId="0" fontId="22" fillId="0" borderId="42" xfId="1" applyFont="1" applyFill="1" applyBorder="1"/>
    <xf numFmtId="0" fontId="22" fillId="0" borderId="40" xfId="1" applyFont="1" applyFill="1" applyBorder="1" applyAlignment="1">
      <alignment horizontal="center" vertical="center" wrapText="1"/>
    </xf>
    <xf numFmtId="168" fontId="22" fillId="0" borderId="40" xfId="1" applyNumberFormat="1" applyFont="1" applyFill="1" applyBorder="1" applyAlignment="1">
      <alignment horizontal="center" wrapText="1"/>
    </xf>
    <xf numFmtId="170" fontId="22" fillId="0" borderId="41" xfId="1" applyNumberFormat="1" applyFont="1" applyFill="1" applyBorder="1"/>
    <xf numFmtId="0" fontId="18" fillId="0" borderId="51" xfId="1" applyFont="1" applyFill="1" applyBorder="1"/>
    <xf numFmtId="0" fontId="22" fillId="0" borderId="52" xfId="1" applyFont="1" applyFill="1" applyBorder="1"/>
    <xf numFmtId="0" fontId="22" fillId="0" borderId="53" xfId="1" applyFont="1" applyFill="1" applyBorder="1" applyAlignment="1">
      <alignment horizontal="center" vertical="center" wrapText="1"/>
    </xf>
    <xf numFmtId="172" fontId="22" fillId="0" borderId="53" xfId="1" applyNumberFormat="1" applyFont="1" applyFill="1" applyBorder="1"/>
    <xf numFmtId="168" fontId="22" fillId="0" borderId="53" xfId="1" applyNumberFormat="1" applyFont="1" applyFill="1" applyBorder="1" applyAlignment="1">
      <alignment horizontal="center" wrapText="1"/>
    </xf>
    <xf numFmtId="0" fontId="22" fillId="0" borderId="53" xfId="1" applyFont="1" applyFill="1" applyBorder="1"/>
    <xf numFmtId="2" fontId="22" fillId="0" borderId="41" xfId="1" applyNumberFormat="1" applyFont="1" applyFill="1" applyBorder="1"/>
    <xf numFmtId="0" fontId="22" fillId="0" borderId="0" xfId="1" applyFont="1" applyFill="1" applyBorder="1" applyAlignment="1">
      <alignment horizontal="center" vertical="center" wrapText="1"/>
    </xf>
    <xf numFmtId="0" fontId="23" fillId="0" borderId="0" xfId="1" applyFont="1" applyFill="1" applyBorder="1" applyAlignment="1">
      <alignment horizontal="right"/>
    </xf>
    <xf numFmtId="170" fontId="22" fillId="0" borderId="1" xfId="1" applyNumberFormat="1" applyFont="1" applyFill="1" applyBorder="1"/>
    <xf numFmtId="0" fontId="22" fillId="0" borderId="42" xfId="1" applyFont="1" applyFill="1" applyBorder="1" applyAlignment="1">
      <alignment wrapText="1"/>
    </xf>
    <xf numFmtId="173" fontId="22" fillId="0" borderId="40" xfId="1" applyNumberFormat="1" applyFont="1" applyFill="1" applyBorder="1" applyAlignment="1">
      <alignment horizontal="center" vertical="center" wrapText="1"/>
    </xf>
    <xf numFmtId="43" fontId="22" fillId="0" borderId="40" xfId="10" applyNumberFormat="1" applyFont="1" applyFill="1" applyBorder="1" applyAlignment="1">
      <alignment horizontal="center" vertical="center" wrapText="1"/>
    </xf>
    <xf numFmtId="169" fontId="22" fillId="0" borderId="40" xfId="0" applyNumberFormat="1" applyFont="1" applyFill="1" applyBorder="1"/>
    <xf numFmtId="178" fontId="22" fillId="0" borderId="40" xfId="0" applyNumberFormat="1" applyFont="1" applyFill="1" applyBorder="1" applyAlignment="1">
      <alignment horizontal="right" wrapText="1"/>
    </xf>
    <xf numFmtId="169" fontId="22" fillId="0" borderId="41" xfId="0" applyNumberFormat="1" applyFont="1" applyFill="1" applyBorder="1"/>
    <xf numFmtId="172" fontId="22" fillId="0" borderId="40" xfId="1" applyNumberFormat="1" applyFont="1" applyFill="1" applyBorder="1"/>
    <xf numFmtId="0" fontId="22" fillId="0" borderId="40" xfId="1" applyFont="1" applyFill="1" applyBorder="1"/>
    <xf numFmtId="172" fontId="22" fillId="0" borderId="41" xfId="1" applyNumberFormat="1" applyFont="1" applyFill="1" applyBorder="1"/>
    <xf numFmtId="172" fontId="22" fillId="0" borderId="54" xfId="1" applyNumberFormat="1" applyFont="1" applyFill="1" applyBorder="1"/>
    <xf numFmtId="0" fontId="23" fillId="0" borderId="55" xfId="1" applyFont="1" applyFill="1" applyBorder="1" applyAlignment="1">
      <alignment horizontal="right"/>
    </xf>
    <xf numFmtId="169" fontId="22" fillId="0" borderId="47" xfId="1" applyNumberFormat="1" applyFont="1" applyFill="1" applyBorder="1"/>
    <xf numFmtId="169" fontId="22" fillId="0" borderId="10" xfId="1" applyNumberFormat="1" applyFont="1" applyFill="1" applyBorder="1"/>
    <xf numFmtId="0" fontId="22" fillId="0" borderId="56" xfId="0" applyNumberFormat="1" applyFont="1" applyFill="1" applyBorder="1" applyAlignment="1">
      <alignment wrapText="1"/>
    </xf>
    <xf numFmtId="173" fontId="22" fillId="0" borderId="40" xfId="0" applyNumberFormat="1" applyFont="1" applyFill="1" applyBorder="1" applyAlignment="1">
      <alignment horizontal="center" vertical="center" wrapText="1"/>
    </xf>
    <xf numFmtId="168" fontId="22" fillId="0" borderId="40" xfId="0" applyNumberFormat="1" applyFont="1" applyFill="1" applyBorder="1" applyAlignment="1">
      <alignment horizontal="right" wrapText="1"/>
    </xf>
    <xf numFmtId="0" fontId="22" fillId="0" borderId="42" xfId="1" applyNumberFormat="1" applyFont="1" applyFill="1" applyBorder="1" applyAlignment="1">
      <alignment wrapText="1"/>
    </xf>
    <xf numFmtId="169" fontId="22" fillId="0" borderId="40" xfId="1" applyNumberFormat="1" applyFont="1" applyFill="1" applyBorder="1"/>
    <xf numFmtId="0" fontId="18" fillId="0" borderId="14" xfId="1" applyFont="1" applyFill="1" applyBorder="1"/>
    <xf numFmtId="0" fontId="18" fillId="0" borderId="34" xfId="1" applyFont="1" applyFill="1" applyBorder="1"/>
    <xf numFmtId="0" fontId="18" fillId="0" borderId="34" xfId="1" applyFont="1" applyFill="1" applyBorder="1" applyAlignment="1">
      <alignment horizontal="center" vertical="center" wrapText="1"/>
    </xf>
    <xf numFmtId="0" fontId="23" fillId="0" borderId="34" xfId="1" applyFont="1" applyFill="1" applyBorder="1" applyAlignment="1">
      <alignment horizontal="right"/>
    </xf>
    <xf numFmtId="169" fontId="12" fillId="0" borderId="0" xfId="0" applyNumberFormat="1" applyFont="1" applyFill="1"/>
    <xf numFmtId="1" fontId="22" fillId="0" borderId="40" xfId="0" applyNumberFormat="1" applyFont="1" applyFill="1" applyBorder="1" applyAlignment="1">
      <alignment horizontal="center"/>
    </xf>
    <xf numFmtId="169" fontId="22" fillId="4" borderId="1" xfId="1" applyNumberFormat="1" applyFont="1" applyFill="1" applyBorder="1" applyProtection="1"/>
    <xf numFmtId="0" fontId="23" fillId="5" borderId="16" xfId="1" applyFont="1" applyFill="1" applyBorder="1" applyAlignment="1">
      <alignment horizontal="center" vertical="center"/>
    </xf>
    <xf numFmtId="2" fontId="23" fillId="5" borderId="16" xfId="1" applyNumberFormat="1" applyFont="1" applyFill="1" applyBorder="1" applyAlignment="1">
      <alignment horizontal="center"/>
    </xf>
    <xf numFmtId="0" fontId="22" fillId="0" borderId="56" xfId="1" applyNumberFormat="1" applyFont="1" applyFill="1" applyBorder="1" applyAlignment="1">
      <alignment wrapText="1"/>
    </xf>
    <xf numFmtId="2" fontId="22" fillId="0" borderId="40" xfId="1" applyNumberFormat="1" applyFont="1" applyFill="1" applyBorder="1" applyAlignment="1">
      <alignment horizontal="center" vertical="center" wrapText="1"/>
    </xf>
    <xf numFmtId="169" fontId="24" fillId="0" borderId="13" xfId="1" applyNumberFormat="1" applyFont="1" applyFill="1" applyBorder="1"/>
    <xf numFmtId="169" fontId="22" fillId="0" borderId="40" xfId="1" applyNumberFormat="1" applyFont="1" applyFill="1" applyBorder="1" applyAlignment="1">
      <alignment vertical="center"/>
    </xf>
    <xf numFmtId="168" fontId="22" fillId="0" borderId="40" xfId="1" applyNumberFormat="1" applyFont="1" applyFill="1" applyBorder="1" applyAlignment="1">
      <alignment horizontal="right" vertical="center" wrapText="1"/>
    </xf>
    <xf numFmtId="169" fontId="18" fillId="0" borderId="0" xfId="0" applyNumberFormat="1" applyFont="1" applyFill="1" applyBorder="1" applyProtection="1"/>
    <xf numFmtId="169" fontId="22" fillId="0" borderId="13" xfId="1" applyNumberFormat="1" applyFont="1" applyFill="1" applyBorder="1" applyAlignment="1">
      <alignment vertical="center"/>
    </xf>
    <xf numFmtId="0" fontId="23" fillId="0" borderId="57" xfId="1" applyFont="1" applyFill="1" applyBorder="1" applyAlignment="1"/>
    <xf numFmtId="169" fontId="22" fillId="0" borderId="58" xfId="1" applyNumberFormat="1" applyFont="1" applyFill="1" applyBorder="1"/>
    <xf numFmtId="168" fontId="22" fillId="3" borderId="1" xfId="1" applyNumberFormat="1" applyFont="1" applyFill="1" applyBorder="1" applyAlignment="1">
      <alignment horizontal="right" wrapText="1"/>
    </xf>
    <xf numFmtId="0" fontId="18" fillId="0" borderId="10" xfId="1" applyFont="1" applyFill="1" applyBorder="1" applyAlignment="1">
      <alignment horizontal="center" vertical="center"/>
    </xf>
    <xf numFmtId="6" fontId="18" fillId="0" borderId="10" xfId="1" applyNumberFormat="1" applyFont="1" applyFill="1" applyBorder="1" applyAlignment="1">
      <alignment horizontal="center" vertical="center"/>
    </xf>
    <xf numFmtId="0" fontId="16" fillId="0" borderId="1" xfId="0" applyFont="1" applyFill="1" applyBorder="1" applyAlignment="1">
      <alignment horizontal="center"/>
    </xf>
    <xf numFmtId="0" fontId="15" fillId="0" borderId="1" xfId="0" applyFont="1" applyFill="1" applyBorder="1" applyAlignment="1">
      <alignment horizontal="center" vertical="center"/>
    </xf>
    <xf numFmtId="3" fontId="16" fillId="4" borderId="1" xfId="0" applyNumberFormat="1" applyFont="1" applyFill="1" applyBorder="1" applyAlignment="1">
      <alignment horizontal="center" vertical="center"/>
    </xf>
    <xf numFmtId="0" fontId="18" fillId="0" borderId="1" xfId="1" applyFont="1" applyFill="1" applyBorder="1" applyAlignment="1">
      <alignment horizontal="center" vertical="center" wrapText="1"/>
    </xf>
    <xf numFmtId="168" fontId="18" fillId="0" borderId="1" xfId="1" applyNumberFormat="1" applyFont="1" applyFill="1" applyBorder="1" applyAlignment="1">
      <alignment horizontal="center" wrapText="1"/>
    </xf>
    <xf numFmtId="0" fontId="22" fillId="0" borderId="1" xfId="1" applyFont="1" applyFill="1" applyBorder="1"/>
    <xf numFmtId="2" fontId="18" fillId="0" borderId="1" xfId="1" applyNumberFormat="1" applyFont="1" applyFill="1" applyBorder="1"/>
    <xf numFmtId="0" fontId="23" fillId="0" borderId="1" xfId="1" applyFont="1" applyFill="1" applyBorder="1"/>
    <xf numFmtId="0" fontId="23" fillId="0" borderId="1" xfId="1" applyFont="1" applyFill="1" applyBorder="1" applyAlignment="1">
      <alignment horizontal="center" vertical="center" wrapText="1"/>
    </xf>
    <xf numFmtId="2" fontId="23" fillId="0" borderId="1" xfId="1" applyNumberFormat="1" applyFont="1" applyFill="1" applyBorder="1" applyAlignment="1">
      <alignment horizontal="center"/>
    </xf>
    <xf numFmtId="179" fontId="22" fillId="0" borderId="1" xfId="13" applyFont="1" applyFill="1" applyBorder="1" applyAlignment="1">
      <alignment horizontal="center" vertical="center" wrapText="1"/>
    </xf>
    <xf numFmtId="169" fontId="22" fillId="3" borderId="1" xfId="1" applyNumberFormat="1" applyFont="1" applyFill="1" applyBorder="1" applyAlignment="1">
      <alignment vertical="center"/>
    </xf>
    <xf numFmtId="168" fontId="22" fillId="0" borderId="1" xfId="1" applyNumberFormat="1" applyFont="1" applyFill="1" applyBorder="1" applyAlignment="1">
      <alignment horizontal="right" vertical="center" wrapText="1"/>
    </xf>
    <xf numFmtId="174" fontId="22" fillId="0" borderId="1" xfId="1" applyNumberFormat="1" applyFont="1" applyFill="1" applyBorder="1" applyAlignment="1">
      <alignment horizontal="right" vertical="center" wrapText="1"/>
    </xf>
    <xf numFmtId="169" fontId="22" fillId="0" borderId="1" xfId="1" applyNumberFormat="1" applyFont="1" applyFill="1" applyBorder="1" applyAlignment="1">
      <alignment vertical="center"/>
    </xf>
    <xf numFmtId="0" fontId="22" fillId="0" borderId="1" xfId="1" applyNumberFormat="1" applyFont="1" applyFill="1" applyBorder="1" applyAlignment="1">
      <alignment horizontal="center" vertical="center" wrapText="1"/>
    </xf>
    <xf numFmtId="169" fontId="22" fillId="0" borderId="1" xfId="1" applyNumberFormat="1" applyFont="1" applyFill="1" applyBorder="1"/>
    <xf numFmtId="43" fontId="22" fillId="0" borderId="1" xfId="13" applyNumberFormat="1" applyFont="1" applyFill="1" applyBorder="1" applyAlignment="1">
      <alignment vertical="center"/>
    </xf>
    <xf numFmtId="9" fontId="22" fillId="0" borderId="1" xfId="12" applyFont="1" applyFill="1" applyBorder="1" applyAlignment="1">
      <alignment horizontal="right" vertical="center" wrapText="1"/>
    </xf>
    <xf numFmtId="170" fontId="22" fillId="0" borderId="1" xfId="1" applyNumberFormat="1" applyFont="1" applyFill="1" applyBorder="1" applyAlignment="1">
      <alignment horizontal="right" vertical="center" wrapText="1"/>
    </xf>
    <xf numFmtId="0" fontId="22" fillId="0" borderId="1" xfId="1" applyFont="1" applyFill="1" applyBorder="1" applyAlignment="1">
      <alignment horizontal="center" vertical="center" wrapText="1"/>
    </xf>
    <xf numFmtId="9" fontId="22" fillId="0" borderId="1" xfId="12" applyFont="1" applyFill="1" applyBorder="1"/>
    <xf numFmtId="0" fontId="23" fillId="0" borderId="1" xfId="1" applyFont="1" applyFill="1" applyBorder="1" applyAlignment="1">
      <alignment horizontal="right"/>
    </xf>
    <xf numFmtId="0" fontId="23" fillId="0" borderId="1" xfId="1" applyFont="1" applyFill="1" applyBorder="1" applyAlignment="1"/>
    <xf numFmtId="168" fontId="22" fillId="0" borderId="1" xfId="1" applyNumberFormat="1" applyFont="1" applyFill="1" applyBorder="1" applyAlignment="1">
      <alignment horizontal="center" vertical="center" wrapText="1"/>
    </xf>
    <xf numFmtId="168" fontId="22" fillId="0" borderId="1" xfId="1" applyNumberFormat="1" applyFont="1" applyFill="1" applyBorder="1" applyAlignment="1">
      <alignment horizontal="right" wrapText="1"/>
    </xf>
    <xf numFmtId="170" fontId="22" fillId="0" borderId="1" xfId="1" applyNumberFormat="1" applyFont="1" applyFill="1" applyBorder="1" applyAlignment="1">
      <alignment vertical="center"/>
    </xf>
    <xf numFmtId="168" fontId="22" fillId="0" borderId="1" xfId="1" applyNumberFormat="1" applyFont="1" applyFill="1" applyBorder="1" applyAlignment="1">
      <alignment horizontal="center" wrapText="1"/>
    </xf>
    <xf numFmtId="172" fontId="22" fillId="0" borderId="1" xfId="1" applyNumberFormat="1" applyFont="1" applyFill="1" applyBorder="1"/>
    <xf numFmtId="2" fontId="22" fillId="0" borderId="1" xfId="1" applyNumberFormat="1" applyFont="1" applyFill="1" applyBorder="1"/>
    <xf numFmtId="0" fontId="22" fillId="0" borderId="1" xfId="1" applyFont="1" applyFill="1" applyBorder="1" applyAlignment="1">
      <alignment wrapText="1"/>
    </xf>
    <xf numFmtId="173" fontId="22" fillId="0" borderId="1" xfId="1" applyNumberFormat="1" applyFont="1" applyFill="1" applyBorder="1" applyAlignment="1">
      <alignment horizontal="center" vertical="center" wrapText="1"/>
    </xf>
    <xf numFmtId="43" fontId="22" fillId="0" borderId="1" xfId="13" applyNumberFormat="1" applyFont="1" applyFill="1" applyBorder="1" applyAlignment="1">
      <alignment horizontal="center" vertical="center" wrapText="1"/>
    </xf>
    <xf numFmtId="168" fontId="22" fillId="0" borderId="1" xfId="0" applyNumberFormat="1" applyFont="1" applyFill="1" applyBorder="1" applyAlignment="1">
      <alignment horizontal="right" wrapText="1"/>
    </xf>
    <xf numFmtId="0" fontId="22" fillId="0" borderId="1" xfId="0" applyNumberFormat="1" applyFont="1" applyFill="1" applyBorder="1" applyAlignment="1">
      <alignment wrapText="1"/>
    </xf>
    <xf numFmtId="173" fontId="22" fillId="0" borderId="1" xfId="0" applyNumberFormat="1" applyFont="1" applyFill="1" applyBorder="1" applyAlignment="1">
      <alignment horizontal="center" vertical="center" wrapText="1"/>
    </xf>
    <xf numFmtId="0" fontId="22" fillId="0" borderId="1" xfId="1" applyNumberFormat="1" applyFont="1" applyFill="1" applyBorder="1" applyAlignment="1">
      <alignment wrapText="1"/>
    </xf>
    <xf numFmtId="169" fontId="18" fillId="3" borderId="1" xfId="1" applyNumberFormat="1" applyFont="1" applyFill="1" applyBorder="1" applyAlignment="1">
      <alignment vertical="center"/>
    </xf>
    <xf numFmtId="180" fontId="22" fillId="0" borderId="40" xfId="10" applyNumberFormat="1" applyFont="1" applyFill="1" applyBorder="1" applyAlignment="1">
      <alignment horizontal="center" vertical="center" wrapText="1"/>
    </xf>
    <xf numFmtId="2" fontId="23" fillId="0" borderId="1" xfId="5" applyNumberFormat="1" applyFont="1" applyFill="1" applyBorder="1" applyAlignment="1">
      <alignment horizontal="center" wrapText="1"/>
    </xf>
    <xf numFmtId="2" fontId="22" fillId="0" borderId="40" xfId="5" applyNumberFormat="1" applyFont="1" applyFill="1" applyBorder="1"/>
    <xf numFmtId="181" fontId="22" fillId="0" borderId="40" xfId="1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xf numFmtId="0" fontId="22" fillId="0" borderId="1" xfId="0" applyFont="1" applyFill="1" applyBorder="1"/>
    <xf numFmtId="0" fontId="23" fillId="0" borderId="1" xfId="0" applyFont="1" applyFill="1" applyBorder="1" applyAlignment="1">
      <alignment horizontal="center" vertical="center" wrapText="1"/>
    </xf>
    <xf numFmtId="168" fontId="23" fillId="0" borderId="1" xfId="0" applyNumberFormat="1" applyFont="1" applyFill="1" applyBorder="1" applyAlignment="1">
      <alignment horizontal="center" wrapText="1"/>
    </xf>
    <xf numFmtId="2" fontId="23" fillId="0" borderId="1" xfId="0" applyNumberFormat="1" applyFont="1" applyFill="1" applyBorder="1" applyAlignment="1">
      <alignment horizontal="center"/>
    </xf>
    <xf numFmtId="43" fontId="22" fillId="0" borderId="1" xfId="2" applyNumberFormat="1" applyFont="1" applyFill="1" applyBorder="1" applyAlignment="1">
      <alignment vertical="center"/>
    </xf>
    <xf numFmtId="9" fontId="22" fillId="0" borderId="1" xfId="6" applyFont="1" applyFill="1" applyBorder="1" applyAlignment="1">
      <alignment horizontal="right" vertical="center" wrapText="1"/>
    </xf>
    <xf numFmtId="170" fontId="22" fillId="0" borderId="1" xfId="0" applyNumberFormat="1" applyFont="1" applyFill="1" applyBorder="1" applyAlignment="1">
      <alignment horizontal="right" vertical="center" wrapText="1"/>
    </xf>
    <xf numFmtId="10" fontId="22" fillId="0" borderId="1" xfId="6" applyNumberFormat="1" applyFont="1" applyFill="1" applyBorder="1" applyAlignment="1">
      <alignment horizontal="right" vertical="center" wrapText="1"/>
    </xf>
    <xf numFmtId="9" fontId="22" fillId="0" borderId="1" xfId="6" applyFont="1" applyFill="1" applyBorder="1"/>
    <xf numFmtId="0" fontId="22" fillId="0" borderId="1" xfId="1" applyFont="1" applyFill="1" applyBorder="1" applyAlignment="1">
      <alignment horizontal="left" vertical="center" wrapText="1"/>
    </xf>
    <xf numFmtId="0" fontId="23" fillId="0" borderId="1" xfId="0" applyFont="1" applyFill="1" applyBorder="1" applyAlignment="1">
      <alignment horizontal="right"/>
    </xf>
    <xf numFmtId="0" fontId="23" fillId="0" borderId="1" xfId="0" applyFont="1" applyFill="1" applyBorder="1" applyAlignment="1"/>
    <xf numFmtId="168" fontId="22" fillId="0" borderId="1" xfId="0" applyNumberFormat="1" applyFont="1" applyFill="1" applyBorder="1" applyAlignment="1">
      <alignment horizontal="center" vertical="center" wrapText="1"/>
    </xf>
    <xf numFmtId="170" fontId="22" fillId="0" borderId="1" xfId="0" applyNumberFormat="1" applyFont="1" applyFill="1" applyBorder="1" applyAlignment="1">
      <alignment vertical="center"/>
    </xf>
    <xf numFmtId="168" fontId="22" fillId="0" borderId="1" xfId="0" applyNumberFormat="1" applyFont="1" applyFill="1" applyBorder="1" applyAlignment="1">
      <alignment horizontal="right" vertical="center" wrapText="1"/>
    </xf>
    <xf numFmtId="168" fontId="22" fillId="0" borderId="1" xfId="0" applyNumberFormat="1" applyFont="1" applyFill="1" applyBorder="1" applyAlignment="1">
      <alignment horizontal="center" wrapText="1"/>
    </xf>
    <xf numFmtId="0" fontId="22" fillId="0" borderId="1" xfId="0" applyFont="1" applyFill="1" applyBorder="1" applyAlignment="1">
      <alignment horizontal="center" vertical="center" wrapText="1"/>
    </xf>
    <xf numFmtId="170" fontId="22" fillId="0" borderId="1" xfId="0" applyNumberFormat="1" applyFont="1" applyFill="1" applyBorder="1"/>
    <xf numFmtId="172" fontId="22" fillId="0" borderId="1" xfId="0" applyNumberFormat="1" applyFont="1" applyFill="1" applyBorder="1"/>
    <xf numFmtId="2" fontId="22" fillId="0" borderId="1" xfId="0" applyNumberFormat="1" applyFont="1" applyFill="1" applyBorder="1"/>
    <xf numFmtId="43" fontId="22" fillId="0" borderId="1" xfId="2" applyNumberFormat="1" applyFont="1" applyFill="1" applyBorder="1" applyAlignment="1">
      <alignment horizontal="center" vertical="center" wrapText="1"/>
    </xf>
    <xf numFmtId="0" fontId="22" fillId="0" borderId="1" xfId="0" applyFont="1" applyFill="1" applyBorder="1" applyAlignment="1">
      <alignment wrapText="1"/>
    </xf>
    <xf numFmtId="0" fontId="25" fillId="0" borderId="1" xfId="0" applyFont="1" applyFill="1" applyBorder="1"/>
    <xf numFmtId="0" fontId="26" fillId="0" borderId="1" xfId="0" applyFont="1" applyFill="1" applyBorder="1" applyAlignment="1">
      <alignment horizontal="left" vertical="center" wrapText="1"/>
    </xf>
    <xf numFmtId="2" fontId="25" fillId="0" borderId="1" xfId="0" applyNumberFormat="1" applyFont="1" applyFill="1" applyBorder="1"/>
    <xf numFmtId="13" fontId="22" fillId="0" borderId="1" xfId="13" applyNumberFormat="1" applyFont="1" applyFill="1" applyBorder="1" applyAlignment="1">
      <alignment vertical="center"/>
    </xf>
    <xf numFmtId="9" fontId="22" fillId="0" borderId="1" xfId="12" applyFont="1" applyFill="1" applyBorder="1" applyAlignment="1">
      <alignment horizontal="left" vertical="center" wrapText="1"/>
    </xf>
    <xf numFmtId="171" fontId="22" fillId="0" borderId="1" xfId="13" applyNumberFormat="1" applyFont="1" applyFill="1" applyBorder="1" applyAlignment="1">
      <alignment vertical="center"/>
    </xf>
    <xf numFmtId="169" fontId="22" fillId="4" borderId="1" xfId="0" applyNumberFormat="1" applyFont="1" applyFill="1" applyBorder="1" applyProtection="1"/>
    <xf numFmtId="0" fontId="22" fillId="0" borderId="8" xfId="0" applyFont="1" applyFill="1" applyBorder="1" applyAlignment="1">
      <alignment horizontal="center"/>
    </xf>
    <xf numFmtId="0" fontId="23" fillId="0" borderId="1" xfId="0" applyFont="1" applyFill="1" applyBorder="1" applyAlignment="1">
      <alignment horizontal="center" vertical="center"/>
    </xf>
    <xf numFmtId="0" fontId="23" fillId="5" borderId="16" xfId="0" applyFont="1" applyFill="1" applyBorder="1" applyAlignment="1">
      <alignment horizontal="center"/>
    </xf>
    <xf numFmtId="0" fontId="22" fillId="5" borderId="1" xfId="0" applyFont="1" applyFill="1" applyBorder="1" applyAlignment="1">
      <alignment horizontal="center" vertical="center"/>
    </xf>
    <xf numFmtId="0" fontId="23" fillId="0" borderId="0" xfId="0" applyFont="1" applyFill="1" applyBorder="1" applyAlignment="1">
      <alignment vertical="center" wrapText="1"/>
    </xf>
    <xf numFmtId="0" fontId="23" fillId="0" borderId="9" xfId="0" applyFont="1" applyFill="1" applyBorder="1"/>
    <xf numFmtId="0" fontId="22" fillId="0" borderId="0" xfId="0" applyFont="1" applyFill="1" applyBorder="1"/>
    <xf numFmtId="0" fontId="23" fillId="0" borderId="5" xfId="0" applyFont="1" applyFill="1" applyBorder="1" applyAlignment="1">
      <alignment horizontal="center" vertical="center" wrapText="1"/>
    </xf>
    <xf numFmtId="168" fontId="23" fillId="0" borderId="8" xfId="0" applyNumberFormat="1" applyFont="1" applyFill="1" applyBorder="1" applyAlignment="1">
      <alignment horizontal="center" wrapText="1"/>
    </xf>
    <xf numFmtId="2" fontId="23" fillId="0" borderId="8" xfId="0" applyNumberFormat="1" applyFont="1" applyFill="1" applyBorder="1" applyAlignment="1">
      <alignment horizontal="center"/>
    </xf>
    <xf numFmtId="0" fontId="22" fillId="0" borderId="8" xfId="1" applyNumberFormat="1" applyFont="1" applyFill="1" applyBorder="1" applyAlignment="1">
      <alignment horizontal="center" vertical="center" wrapText="1"/>
    </xf>
    <xf numFmtId="169" fontId="22" fillId="0" borderId="58" xfId="0" applyNumberFormat="1" applyFont="1" applyFill="1" applyBorder="1"/>
    <xf numFmtId="43" fontId="22" fillId="0" borderId="8" xfId="2" applyNumberFormat="1" applyFont="1" applyFill="1" applyBorder="1" applyAlignment="1">
      <alignment vertical="center"/>
    </xf>
    <xf numFmtId="9" fontId="22" fillId="0" borderId="0" xfId="6" applyFont="1" applyFill="1" applyBorder="1" applyAlignment="1">
      <alignment horizontal="right" vertical="center" wrapText="1"/>
    </xf>
    <xf numFmtId="170" fontId="22" fillId="0" borderId="8" xfId="0" applyNumberFormat="1" applyFont="1" applyFill="1" applyBorder="1" applyAlignment="1">
      <alignment horizontal="right" vertical="center" wrapText="1"/>
    </xf>
    <xf numFmtId="43" fontId="22" fillId="0" borderId="13" xfId="2" applyNumberFormat="1" applyFont="1" applyFill="1" applyBorder="1" applyAlignment="1">
      <alignment vertical="center"/>
    </xf>
    <xf numFmtId="10" fontId="22" fillId="0" borderId="0" xfId="6" applyNumberFormat="1" applyFont="1" applyFill="1" applyBorder="1" applyAlignment="1">
      <alignment horizontal="right" vertical="center" wrapText="1"/>
    </xf>
    <xf numFmtId="170" fontId="22" fillId="0" borderId="13" xfId="0" applyNumberFormat="1" applyFont="1" applyFill="1" applyBorder="1" applyAlignment="1">
      <alignment horizontal="right" vertical="center" wrapText="1"/>
    </xf>
    <xf numFmtId="169" fontId="22" fillId="0" borderId="0" xfId="1" applyNumberFormat="1" applyFont="1" applyFill="1" applyBorder="1" applyAlignment="1">
      <alignment vertical="center"/>
    </xf>
    <xf numFmtId="0" fontId="22" fillId="0" borderId="13" xfId="1" applyFont="1" applyFill="1" applyBorder="1" applyAlignment="1">
      <alignment horizontal="center" vertical="center" wrapText="1"/>
    </xf>
    <xf numFmtId="169" fontId="22" fillId="0" borderId="0" xfId="1" applyNumberFormat="1" applyFont="1" applyFill="1" applyBorder="1"/>
    <xf numFmtId="9" fontId="22" fillId="0" borderId="0" xfId="6" applyFont="1" applyFill="1" applyBorder="1"/>
    <xf numFmtId="0" fontId="22" fillId="0" borderId="16" xfId="1" applyFont="1" applyFill="1" applyBorder="1" applyAlignment="1">
      <alignment horizontal="left" vertical="center" wrapText="1"/>
    </xf>
    <xf numFmtId="169" fontId="22" fillId="0" borderId="34" xfId="1" applyNumberFormat="1" applyFont="1" applyFill="1" applyBorder="1"/>
    <xf numFmtId="43" fontId="22" fillId="0" borderId="16" xfId="2" applyNumberFormat="1" applyFont="1" applyFill="1" applyBorder="1" applyAlignment="1">
      <alignment vertical="center"/>
    </xf>
    <xf numFmtId="9" fontId="22" fillId="0" borderId="34" xfId="6" applyFont="1" applyFill="1" applyBorder="1"/>
    <xf numFmtId="170" fontId="22" fillId="0" borderId="16" xfId="0" applyNumberFormat="1" applyFont="1" applyFill="1" applyBorder="1" applyAlignment="1">
      <alignment horizontal="right" vertical="center" wrapText="1"/>
    </xf>
    <xf numFmtId="0" fontId="23" fillId="0" borderId="43" xfId="0" applyFont="1" applyFill="1" applyBorder="1" applyAlignment="1">
      <alignment horizontal="right"/>
    </xf>
    <xf numFmtId="169" fontId="22" fillId="0" borderId="16" xfId="0" applyNumberFormat="1" applyFont="1" applyFill="1" applyBorder="1"/>
    <xf numFmtId="0" fontId="23" fillId="0" borderId="46" xfId="0" applyFont="1" applyFill="1" applyBorder="1" applyAlignment="1">
      <alignment horizontal="center" vertical="center" wrapText="1"/>
    </xf>
    <xf numFmtId="0" fontId="23" fillId="0" borderId="46" xfId="0" applyFont="1" applyFill="1" applyBorder="1" applyAlignment="1">
      <alignment horizontal="center"/>
    </xf>
    <xf numFmtId="0" fontId="23" fillId="0" borderId="46" xfId="0" applyFont="1" applyFill="1" applyBorder="1" applyAlignment="1"/>
    <xf numFmtId="2" fontId="23" fillId="0" borderId="47" xfId="0" applyNumberFormat="1" applyFont="1" applyFill="1" applyBorder="1" applyAlignment="1">
      <alignment horizontal="center"/>
    </xf>
    <xf numFmtId="168" fontId="22" fillId="0" borderId="42" xfId="0" applyNumberFormat="1" applyFont="1" applyFill="1" applyBorder="1" applyAlignment="1">
      <alignment horizontal="center" vertical="center" wrapText="1"/>
    </xf>
    <xf numFmtId="170" fontId="22" fillId="0" borderId="41" xfId="0" applyNumberFormat="1" applyFont="1" applyFill="1" applyBorder="1" applyAlignment="1">
      <alignment vertical="center"/>
    </xf>
    <xf numFmtId="168" fontId="22" fillId="0" borderId="40" xfId="0" applyNumberFormat="1" applyFont="1" applyFill="1" applyBorder="1" applyAlignment="1">
      <alignment horizontal="right" vertical="center" wrapText="1"/>
    </xf>
    <xf numFmtId="169" fontId="22" fillId="0" borderId="13" xfId="0" applyNumberFormat="1" applyFont="1" applyFill="1" applyBorder="1"/>
    <xf numFmtId="168" fontId="22" fillId="0" borderId="13" xfId="0" applyNumberFormat="1" applyFont="1" applyFill="1" applyBorder="1" applyAlignment="1">
      <alignment horizontal="center" wrapText="1"/>
    </xf>
    <xf numFmtId="0" fontId="22" fillId="0" borderId="42" xfId="0" applyFont="1" applyFill="1" applyBorder="1"/>
    <xf numFmtId="0" fontId="22" fillId="0" borderId="40" xfId="0" applyFont="1" applyFill="1" applyBorder="1" applyAlignment="1">
      <alignment horizontal="center" vertical="center" wrapText="1"/>
    </xf>
    <xf numFmtId="168" fontId="22" fillId="0" borderId="40" xfId="0" applyNumberFormat="1" applyFont="1" applyFill="1" applyBorder="1" applyAlignment="1">
      <alignment horizontal="center" wrapText="1"/>
    </xf>
    <xf numFmtId="170" fontId="22" fillId="0" borderId="41" xfId="0" applyNumberFormat="1" applyFont="1" applyFill="1" applyBorder="1"/>
    <xf numFmtId="0" fontId="18" fillId="0" borderId="51" xfId="0" applyFont="1" applyFill="1" applyBorder="1"/>
    <xf numFmtId="0" fontId="22" fillId="0" borderId="52" xfId="0" applyFont="1" applyFill="1" applyBorder="1"/>
    <xf numFmtId="0" fontId="22" fillId="0" borderId="53" xfId="0" applyFont="1" applyFill="1" applyBorder="1" applyAlignment="1">
      <alignment horizontal="center" vertical="center" wrapText="1"/>
    </xf>
    <xf numFmtId="172" fontId="22" fillId="0" borderId="53" xfId="0" applyNumberFormat="1" applyFont="1" applyFill="1" applyBorder="1"/>
    <xf numFmtId="168" fontId="22" fillId="0" borderId="53" xfId="0" applyNumberFormat="1" applyFont="1" applyFill="1" applyBorder="1" applyAlignment="1">
      <alignment horizontal="center" wrapText="1"/>
    </xf>
    <xf numFmtId="0" fontId="22" fillId="0" borderId="53" xfId="0" applyFont="1" applyFill="1" applyBorder="1"/>
    <xf numFmtId="2" fontId="22" fillId="0" borderId="41" xfId="0" applyNumberFormat="1" applyFont="1" applyFill="1" applyBorder="1"/>
    <xf numFmtId="0" fontId="22" fillId="0" borderId="0" xfId="0" applyFont="1" applyFill="1" applyBorder="1" applyAlignment="1">
      <alignment horizontal="center" vertical="center" wrapText="1"/>
    </xf>
    <xf numFmtId="0" fontId="23" fillId="0" borderId="0" xfId="0" applyFont="1" applyFill="1" applyBorder="1" applyAlignment="1">
      <alignment horizontal="right"/>
    </xf>
    <xf numFmtId="43" fontId="22" fillId="0" borderId="40" xfId="2" applyNumberFormat="1" applyFont="1" applyFill="1" applyBorder="1" applyAlignment="1">
      <alignment horizontal="center" vertical="center" wrapText="1"/>
    </xf>
    <xf numFmtId="172" fontId="22" fillId="0" borderId="40" xfId="0" applyNumberFormat="1" applyFont="1" applyFill="1" applyBorder="1"/>
    <xf numFmtId="0" fontId="22" fillId="0" borderId="40" xfId="0" applyFont="1" applyFill="1" applyBorder="1"/>
    <xf numFmtId="172" fontId="22" fillId="0" borderId="41" xfId="0" applyNumberFormat="1" applyFont="1" applyFill="1" applyBorder="1"/>
    <xf numFmtId="172" fontId="22" fillId="0" borderId="54" xfId="0" applyNumberFormat="1" applyFont="1" applyFill="1" applyBorder="1"/>
    <xf numFmtId="0" fontId="23" fillId="0" borderId="55" xfId="0" applyFont="1" applyFill="1" applyBorder="1" applyAlignment="1">
      <alignment horizontal="right"/>
    </xf>
    <xf numFmtId="169" fontId="22" fillId="0" borderId="47" xfId="0" applyNumberFormat="1" applyFont="1" applyFill="1" applyBorder="1"/>
    <xf numFmtId="169" fontId="22" fillId="0" borderId="10" xfId="0" applyNumberFormat="1" applyFont="1" applyFill="1" applyBorder="1"/>
    <xf numFmtId="0" fontId="22" fillId="0" borderId="42" xfId="0" applyNumberFormat="1" applyFont="1" applyFill="1" applyBorder="1" applyAlignment="1">
      <alignment wrapText="1"/>
    </xf>
    <xf numFmtId="0" fontId="22" fillId="0" borderId="42" xfId="0" applyFont="1" applyFill="1" applyBorder="1" applyAlignment="1">
      <alignment wrapText="1"/>
    </xf>
    <xf numFmtId="0" fontId="23" fillId="0" borderId="34" xfId="0" applyFont="1" applyFill="1" applyBorder="1" applyAlignment="1">
      <alignment horizontal="right"/>
    </xf>
    <xf numFmtId="9" fontId="16" fillId="0" borderId="1" xfId="11" applyFont="1" applyFill="1" applyBorder="1" applyAlignment="1">
      <alignment horizontal="right" vertical="center" wrapText="1"/>
    </xf>
    <xf numFmtId="0" fontId="16" fillId="0" borderId="1" xfId="1" applyFont="1" applyFill="1" applyBorder="1" applyAlignment="1">
      <alignment horizontal="left" vertical="center" wrapText="1"/>
    </xf>
    <xf numFmtId="0" fontId="18" fillId="0" borderId="1" xfId="0" applyFont="1" applyBorder="1"/>
    <xf numFmtId="0" fontId="16" fillId="0" borderId="1" xfId="0" applyFont="1" applyFill="1" applyBorder="1" applyAlignment="1">
      <alignment wrapText="1"/>
    </xf>
    <xf numFmtId="0" fontId="16" fillId="0" borderId="1" xfId="0" applyFont="1" applyFill="1" applyBorder="1" applyAlignment="1">
      <alignment horizontal="center" vertical="center"/>
    </xf>
    <xf numFmtId="169" fontId="16" fillId="3" borderId="1" xfId="1" applyNumberFormat="1" applyFont="1" applyFill="1" applyBorder="1" applyAlignment="1">
      <alignment vertical="center"/>
    </xf>
    <xf numFmtId="169" fontId="16" fillId="3" borderId="1" xfId="0" applyNumberFormat="1" applyFont="1" applyFill="1" applyBorder="1" applyAlignment="1">
      <alignment vertical="center"/>
    </xf>
    <xf numFmtId="175" fontId="16" fillId="0" borderId="1" xfId="0" applyNumberFormat="1" applyFont="1" applyFill="1" applyBorder="1" applyAlignment="1">
      <alignment horizontal="center" wrapText="1"/>
    </xf>
    <xf numFmtId="173" fontId="16" fillId="0" borderId="1" xfId="0" applyNumberFormat="1" applyFont="1" applyFill="1" applyBorder="1"/>
    <xf numFmtId="43" fontId="22" fillId="0" borderId="40" xfId="13" applyNumberFormat="1" applyFont="1" applyFill="1" applyBorder="1" applyAlignment="1">
      <alignment horizontal="center" vertical="center" wrapText="1"/>
    </xf>
    <xf numFmtId="175" fontId="22" fillId="0" borderId="40" xfId="1" applyNumberFormat="1" applyFont="1" applyFill="1" applyBorder="1" applyAlignment="1">
      <alignment horizontal="right" wrapText="1"/>
    </xf>
    <xf numFmtId="0" fontId="22" fillId="0" borderId="8" xfId="1" applyFont="1" applyFill="1" applyBorder="1" applyAlignment="1">
      <alignment horizontal="center"/>
    </xf>
    <xf numFmtId="0" fontId="22" fillId="0" borderId="12" xfId="1" applyFont="1" applyFill="1" applyBorder="1" applyAlignment="1">
      <alignment horizontal="center" vertical="center" wrapText="1"/>
    </xf>
    <xf numFmtId="169" fontId="22" fillId="0" borderId="8" xfId="1" applyNumberFormat="1" applyFont="1" applyFill="1" applyBorder="1"/>
    <xf numFmtId="43" fontId="22" fillId="0" borderId="8" xfId="13" applyNumberFormat="1" applyFont="1" applyFill="1" applyBorder="1" applyAlignment="1">
      <alignment vertical="center"/>
    </xf>
    <xf numFmtId="9" fontId="22" fillId="0" borderId="11" xfId="12" applyFont="1" applyFill="1" applyBorder="1" applyAlignment="1">
      <alignment horizontal="left" vertical="center" wrapText="1"/>
    </xf>
    <xf numFmtId="170" fontId="22" fillId="0" borderId="8" xfId="1" applyNumberFormat="1" applyFont="1" applyFill="1" applyBorder="1" applyAlignment="1">
      <alignment horizontal="right" vertical="center" wrapText="1"/>
    </xf>
    <xf numFmtId="43" fontId="22" fillId="0" borderId="13" xfId="13" applyNumberFormat="1" applyFont="1" applyFill="1" applyBorder="1" applyAlignment="1">
      <alignment vertical="center"/>
    </xf>
    <xf numFmtId="9" fontId="22" fillId="0" borderId="9" xfId="12" applyFont="1" applyFill="1" applyBorder="1" applyAlignment="1">
      <alignment horizontal="left" vertical="center" wrapText="1"/>
    </xf>
    <xf numFmtId="171" fontId="22" fillId="0" borderId="16" xfId="13" applyNumberFormat="1" applyFont="1" applyFill="1" applyBorder="1" applyAlignment="1">
      <alignment vertical="center"/>
    </xf>
    <xf numFmtId="170" fontId="22" fillId="0" borderId="16" xfId="1" applyNumberFormat="1" applyFont="1" applyFill="1" applyBorder="1" applyAlignment="1">
      <alignment horizontal="right" vertical="center" wrapText="1"/>
    </xf>
    <xf numFmtId="168" fontId="22" fillId="0" borderId="10" xfId="1" applyNumberFormat="1" applyFont="1" applyFill="1" applyBorder="1" applyAlignment="1">
      <alignment horizontal="center" wrapText="1"/>
    </xf>
    <xf numFmtId="43" fontId="22" fillId="0" borderId="40" xfId="14" applyNumberFormat="1" applyFont="1" applyFill="1" applyBorder="1" applyAlignment="1">
      <alignment horizontal="center" vertical="center" wrapText="1"/>
    </xf>
    <xf numFmtId="10" fontId="22" fillId="0" borderId="1" xfId="12" applyNumberFormat="1" applyFont="1" applyFill="1" applyBorder="1" applyAlignment="1">
      <alignment horizontal="left" vertical="center" wrapText="1"/>
    </xf>
    <xf numFmtId="43" fontId="22" fillId="0" borderId="1" xfId="14" applyNumberFormat="1" applyFont="1" applyFill="1" applyBorder="1" applyAlignment="1">
      <alignment horizontal="center" vertical="center" wrapText="1"/>
    </xf>
    <xf numFmtId="2" fontId="22" fillId="0" borderId="1" xfId="5" applyNumberFormat="1" applyFont="1" applyFill="1" applyBorder="1"/>
    <xf numFmtId="175" fontId="22" fillId="0" borderId="1" xfId="1" applyNumberFormat="1" applyFont="1" applyFill="1" applyBorder="1" applyAlignment="1">
      <alignment horizontal="right" wrapText="1"/>
    </xf>
    <xf numFmtId="169" fontId="22" fillId="0" borderId="54" xfId="1" applyNumberFormat="1" applyFont="1" applyFill="1" applyBorder="1"/>
    <xf numFmtId="169" fontId="18" fillId="4" borderId="1" xfId="1" applyNumberFormat="1" applyFont="1" applyFill="1" applyBorder="1" applyProtection="1"/>
    <xf numFmtId="168" fontId="18" fillId="0" borderId="40" xfId="1" applyNumberFormat="1" applyFont="1" applyFill="1" applyBorder="1" applyAlignment="1">
      <alignment horizontal="right" wrapText="1"/>
    </xf>
    <xf numFmtId="49" fontId="28" fillId="0" borderId="0" xfId="15" applyNumberFormat="1" applyFont="1" applyFill="1" applyAlignment="1">
      <alignment horizontal="center" vertical="center"/>
    </xf>
    <xf numFmtId="49" fontId="20" fillId="0" borderId="0" xfId="15" applyNumberFormat="1" applyFont="1" applyFill="1" applyAlignment="1">
      <alignment vertical="center"/>
    </xf>
    <xf numFmtId="0" fontId="28" fillId="0" borderId="0" xfId="15" applyFont="1" applyFill="1"/>
    <xf numFmtId="49" fontId="29" fillId="0" borderId="34" xfId="15" applyNumberFormat="1" applyFont="1" applyFill="1" applyBorder="1" applyAlignment="1">
      <alignment vertical="center"/>
    </xf>
    <xf numFmtId="40" fontId="28" fillId="0" borderId="0" xfId="16" applyFont="1" applyFill="1"/>
    <xf numFmtId="40" fontId="31" fillId="4" borderId="5" xfId="16" applyFont="1" applyFill="1" applyBorder="1" applyAlignment="1">
      <alignment horizontal="center" vertical="center"/>
    </xf>
    <xf numFmtId="183" fontId="28" fillId="0" borderId="0" xfId="16" applyNumberFormat="1" applyFont="1" applyFill="1" applyAlignment="1">
      <alignment horizontal="center"/>
    </xf>
    <xf numFmtId="3" fontId="30" fillId="4" borderId="5" xfId="15" applyNumberFormat="1" applyFont="1" applyFill="1" applyBorder="1" applyAlignment="1">
      <alignment horizontal="center" vertical="center" wrapText="1"/>
    </xf>
    <xf numFmtId="49" fontId="31" fillId="6" borderId="1" xfId="15" applyNumberFormat="1" applyFont="1" applyFill="1" applyBorder="1" applyAlignment="1">
      <alignment horizontal="center" vertical="center"/>
    </xf>
    <xf numFmtId="49" fontId="31" fillId="6" borderId="1" xfId="15" applyNumberFormat="1" applyFont="1" applyFill="1" applyBorder="1" applyAlignment="1">
      <alignment horizontal="center"/>
    </xf>
    <xf numFmtId="1" fontId="31" fillId="6" borderId="1" xfId="15" applyNumberFormat="1" applyFont="1" applyFill="1" applyBorder="1" applyAlignment="1">
      <alignment horizontal="center"/>
    </xf>
    <xf numFmtId="0" fontId="31" fillId="6" borderId="1" xfId="15" applyFont="1" applyFill="1" applyBorder="1" applyAlignment="1">
      <alignment horizontal="left"/>
    </xf>
    <xf numFmtId="184" fontId="31" fillId="6" borderId="1" xfId="16" applyNumberFormat="1" applyFont="1" applyFill="1" applyBorder="1" applyAlignment="1">
      <alignment horizontal="center"/>
    </xf>
    <xf numFmtId="0" fontId="31" fillId="6" borderId="1" xfId="15" applyFont="1" applyFill="1" applyBorder="1" applyAlignment="1">
      <alignment horizontal="center"/>
    </xf>
    <xf numFmtId="4" fontId="31" fillId="6" borderId="1" xfId="15" applyNumberFormat="1" applyFont="1" applyFill="1" applyBorder="1" applyAlignment="1">
      <alignment horizontal="center"/>
    </xf>
    <xf numFmtId="49" fontId="31" fillId="0" borderId="60" xfId="15" applyNumberFormat="1" applyFont="1" applyFill="1" applyBorder="1" applyAlignment="1">
      <alignment horizontal="center" vertical="center"/>
    </xf>
    <xf numFmtId="49" fontId="31" fillId="7" borderId="1" xfId="15" applyNumberFormat="1" applyFont="1" applyFill="1" applyBorder="1" applyAlignment="1">
      <alignment horizontal="center" vertical="center"/>
    </xf>
    <xf numFmtId="49" fontId="31" fillId="7" borderId="1" xfId="15" applyNumberFormat="1" applyFont="1" applyFill="1" applyBorder="1"/>
    <xf numFmtId="49" fontId="28" fillId="7" borderId="1" xfId="15" applyNumberFormat="1" applyFont="1" applyFill="1" applyBorder="1" applyAlignment="1">
      <alignment horizontal="center"/>
    </xf>
    <xf numFmtId="1" fontId="28" fillId="7" borderId="1" xfId="15" applyNumberFormat="1" applyFont="1" applyFill="1" applyBorder="1"/>
    <xf numFmtId="0" fontId="28" fillId="7" borderId="1" xfId="15" applyFont="1" applyFill="1" applyBorder="1" applyAlignment="1">
      <alignment horizontal="center"/>
    </xf>
    <xf numFmtId="184" fontId="28" fillId="7" borderId="1" xfId="16" applyNumberFormat="1" applyFont="1" applyFill="1" applyBorder="1"/>
    <xf numFmtId="10" fontId="31" fillId="7" borderId="1" xfId="17" applyNumberFormat="1" applyFont="1" applyFill="1" applyBorder="1" applyAlignment="1">
      <alignment horizontal="center"/>
    </xf>
    <xf numFmtId="40" fontId="31" fillId="7" borderId="1" xfId="16" applyFont="1" applyFill="1" applyBorder="1"/>
    <xf numFmtId="49" fontId="31" fillId="8" borderId="61" xfId="15" applyNumberFormat="1" applyFont="1" applyFill="1" applyBorder="1" applyAlignment="1">
      <alignment horizontal="center" vertical="center"/>
    </xf>
    <xf numFmtId="49" fontId="31" fillId="0" borderId="1" xfId="15" applyNumberFormat="1" applyFont="1" applyFill="1" applyBorder="1" applyAlignment="1">
      <alignment horizontal="center" vertical="center"/>
    </xf>
    <xf numFmtId="49" fontId="31" fillId="0" borderId="1" xfId="15" applyNumberFormat="1" applyFont="1" applyFill="1" applyBorder="1"/>
    <xf numFmtId="49" fontId="28" fillId="0" borderId="1" xfId="15" applyNumberFormat="1" applyFont="1" applyFill="1" applyBorder="1" applyAlignment="1">
      <alignment horizontal="center"/>
    </xf>
    <xf numFmtId="1" fontId="28" fillId="0" borderId="1" xfId="15" applyNumberFormat="1" applyFont="1" applyFill="1" applyBorder="1"/>
    <xf numFmtId="0" fontId="28" fillId="0" borderId="1" xfId="15" applyFont="1" applyFill="1" applyBorder="1" applyAlignment="1">
      <alignment horizontal="center"/>
    </xf>
    <xf numFmtId="184" fontId="28" fillId="0" borderId="1" xfId="16" applyNumberFormat="1" applyFont="1" applyFill="1" applyBorder="1"/>
    <xf numFmtId="10" fontId="31" fillId="0" borderId="1" xfId="17" applyNumberFormat="1" applyFont="1" applyFill="1" applyBorder="1" applyAlignment="1">
      <alignment horizontal="center"/>
    </xf>
    <xf numFmtId="4" fontId="31" fillId="0" borderId="1" xfId="15" applyNumberFormat="1" applyFont="1" applyFill="1" applyBorder="1"/>
    <xf numFmtId="49" fontId="31" fillId="0" borderId="62" xfId="15" applyNumberFormat="1" applyFont="1" applyFill="1" applyBorder="1" applyAlignment="1">
      <alignment horizontal="center" vertical="center"/>
    </xf>
    <xf numFmtId="10" fontId="28" fillId="0" borderId="0" xfId="15" applyNumberFormat="1" applyFont="1" applyFill="1"/>
    <xf numFmtId="49" fontId="28" fillId="0" borderId="1" xfId="15" applyNumberFormat="1" applyFont="1" applyFill="1" applyBorder="1" applyAlignment="1">
      <alignment horizontal="center" vertical="center"/>
    </xf>
    <xf numFmtId="49" fontId="28" fillId="0" borderId="1" xfId="15" applyNumberFormat="1" applyFont="1" applyFill="1" applyBorder="1"/>
    <xf numFmtId="49" fontId="28" fillId="0" borderId="1" xfId="15" applyNumberFormat="1" applyFont="1" applyFill="1" applyBorder="1" applyAlignment="1">
      <alignment horizontal="center" vertical="center" wrapText="1"/>
    </xf>
    <xf numFmtId="1" fontId="28" fillId="0" borderId="1" xfId="15" applyNumberFormat="1" applyFont="1" applyFill="1" applyBorder="1" applyAlignment="1">
      <alignment horizontal="center" vertical="center" wrapText="1"/>
    </xf>
    <xf numFmtId="0" fontId="28" fillId="0" borderId="1" xfId="15" applyFont="1" applyFill="1" applyBorder="1" applyAlignment="1">
      <alignment horizontal="center" vertical="center" wrapText="1"/>
    </xf>
    <xf numFmtId="185" fontId="28" fillId="3" borderId="1" xfId="16" applyNumberFormat="1" applyFont="1" applyFill="1" applyBorder="1" applyAlignment="1">
      <alignment horizontal="center" vertical="center" wrapText="1"/>
    </xf>
    <xf numFmtId="10" fontId="28" fillId="0" borderId="1" xfId="17" applyNumberFormat="1" applyFont="1" applyFill="1" applyBorder="1" applyAlignment="1">
      <alignment horizontal="center" vertical="center" wrapText="1"/>
    </xf>
    <xf numFmtId="185" fontId="28" fillId="0" borderId="1" xfId="16" applyNumberFormat="1" applyFont="1" applyFill="1" applyBorder="1" applyAlignment="1">
      <alignment horizontal="center" vertical="center" wrapText="1"/>
    </xf>
    <xf numFmtId="49" fontId="28" fillId="0" borderId="63" xfId="15" applyNumberFormat="1" applyFont="1" applyFill="1" applyBorder="1" applyAlignment="1">
      <alignment horizontal="center" vertical="center"/>
    </xf>
    <xf numFmtId="49" fontId="31" fillId="0" borderId="64" xfId="15" applyNumberFormat="1" applyFont="1" applyFill="1" applyBorder="1" applyAlignment="1">
      <alignment horizontal="center" vertical="center"/>
    </xf>
    <xf numFmtId="49" fontId="31" fillId="0" borderId="63" xfId="15" applyNumberFormat="1" applyFont="1" applyFill="1" applyBorder="1" applyAlignment="1">
      <alignment horizontal="center" vertical="center"/>
    </xf>
    <xf numFmtId="1" fontId="28" fillId="0" borderId="1" xfId="16" applyNumberFormat="1" applyFont="1" applyFill="1" applyBorder="1" applyAlignment="1">
      <alignment horizontal="center" vertical="center" wrapText="1"/>
    </xf>
    <xf numFmtId="0" fontId="28" fillId="0" borderId="0" xfId="15" applyFont="1" applyFill="1" applyAlignment="1">
      <alignment horizontal="left"/>
    </xf>
    <xf numFmtId="2" fontId="32" fillId="0" borderId="0" xfId="15" applyNumberFormat="1" applyFont="1" applyFill="1"/>
    <xf numFmtId="49" fontId="32" fillId="0" borderId="63" xfId="15" applyNumberFormat="1" applyFont="1" applyFill="1" applyBorder="1" applyAlignment="1">
      <alignment horizontal="center" vertical="center"/>
    </xf>
    <xf numFmtId="0" fontId="32" fillId="0" borderId="0" xfId="15" applyFont="1" applyFill="1"/>
    <xf numFmtId="3" fontId="28" fillId="0" borderId="1" xfId="15" applyNumberFormat="1" applyFont="1" applyFill="1" applyBorder="1" applyAlignment="1">
      <alignment horizontal="center" vertical="center" wrapText="1"/>
    </xf>
    <xf numFmtId="2" fontId="28" fillId="0" borderId="0" xfId="15" applyNumberFormat="1" applyFont="1" applyFill="1"/>
    <xf numFmtId="174" fontId="28" fillId="0" borderId="1" xfId="15" applyNumberFormat="1" applyFont="1" applyFill="1" applyBorder="1" applyAlignment="1">
      <alignment horizontal="center" vertical="center" wrapText="1"/>
    </xf>
    <xf numFmtId="174" fontId="28" fillId="3" borderId="1" xfId="15" applyNumberFormat="1" applyFont="1" applyFill="1" applyBorder="1" applyAlignment="1">
      <alignment horizontal="center" vertical="center" wrapText="1"/>
    </xf>
    <xf numFmtId="49" fontId="28" fillId="0" borderId="65" xfId="15" applyNumberFormat="1" applyFont="1" applyFill="1" applyBorder="1" applyAlignment="1">
      <alignment horizontal="center" vertical="center"/>
    </xf>
    <xf numFmtId="49" fontId="31" fillId="8" borderId="66" xfId="15" applyNumberFormat="1" applyFont="1" applyFill="1" applyBorder="1" applyAlignment="1">
      <alignment horizontal="center" vertical="center"/>
    </xf>
    <xf numFmtId="49" fontId="28" fillId="3" borderId="1" xfId="15" applyNumberFormat="1" applyFont="1" applyFill="1" applyBorder="1"/>
    <xf numFmtId="49" fontId="28" fillId="3" borderId="1" xfId="15" applyNumberFormat="1" applyFont="1" applyFill="1" applyBorder="1" applyAlignment="1">
      <alignment horizontal="center" vertical="center" wrapText="1"/>
    </xf>
    <xf numFmtId="1" fontId="28" fillId="3" borderId="1" xfId="15" applyNumberFormat="1" applyFont="1" applyFill="1" applyBorder="1" applyAlignment="1">
      <alignment horizontal="center" vertical="center" wrapText="1"/>
    </xf>
    <xf numFmtId="3" fontId="28" fillId="3" borderId="1" xfId="15" applyNumberFormat="1" applyFont="1" applyFill="1" applyBorder="1" applyAlignment="1">
      <alignment horizontal="center" vertical="center" wrapText="1"/>
    </xf>
    <xf numFmtId="49" fontId="28" fillId="0" borderId="66" xfId="15" applyNumberFormat="1" applyFont="1" applyFill="1" applyBorder="1" applyAlignment="1">
      <alignment horizontal="center" vertical="center"/>
    </xf>
    <xf numFmtId="49" fontId="31" fillId="4" borderId="1" xfId="15" applyNumberFormat="1" applyFont="1" applyFill="1" applyBorder="1" applyAlignment="1">
      <alignment horizontal="center" vertical="center"/>
    </xf>
    <xf numFmtId="49" fontId="31" fillId="4" borderId="1" xfId="15" applyNumberFormat="1" applyFont="1" applyFill="1" applyBorder="1"/>
    <xf numFmtId="49" fontId="28" fillId="4" borderId="1" xfId="15" applyNumberFormat="1" applyFont="1" applyFill="1" applyBorder="1" applyAlignment="1">
      <alignment horizontal="center" vertical="center" wrapText="1"/>
    </xf>
    <xf numFmtId="1" fontId="28" fillId="4" borderId="1" xfId="15" applyNumberFormat="1" applyFont="1" applyFill="1" applyBorder="1" applyAlignment="1">
      <alignment horizontal="center" vertical="center" wrapText="1"/>
    </xf>
    <xf numFmtId="0" fontId="28" fillId="4" borderId="1" xfId="15" applyFont="1" applyFill="1" applyBorder="1" applyAlignment="1">
      <alignment horizontal="center" vertical="center" wrapText="1"/>
    </xf>
    <xf numFmtId="185" fontId="28" fillId="4" borderId="1" xfId="16" applyNumberFormat="1" applyFont="1" applyFill="1" applyBorder="1" applyAlignment="1">
      <alignment horizontal="center" vertical="center" wrapText="1"/>
    </xf>
    <xf numFmtId="10" fontId="28" fillId="4" borderId="1" xfId="17" applyNumberFormat="1" applyFont="1" applyFill="1" applyBorder="1" applyAlignment="1">
      <alignment horizontal="center" vertical="center" wrapText="1"/>
    </xf>
    <xf numFmtId="49" fontId="31" fillId="4" borderId="1" xfId="15" applyNumberFormat="1" applyFont="1" applyFill="1" applyBorder="1" applyAlignment="1">
      <alignment horizontal="center" vertical="top"/>
    </xf>
    <xf numFmtId="49" fontId="31" fillId="4" borderId="1" xfId="15" applyNumberFormat="1" applyFont="1" applyFill="1" applyBorder="1" applyAlignment="1">
      <alignment vertical="top"/>
    </xf>
    <xf numFmtId="49" fontId="28" fillId="4" borderId="1" xfId="15" applyNumberFormat="1" applyFont="1" applyFill="1" applyBorder="1" applyAlignment="1">
      <alignment horizontal="center" vertical="top" wrapText="1"/>
    </xf>
    <xf numFmtId="1" fontId="28" fillId="4" borderId="1" xfId="15" applyNumberFormat="1" applyFont="1" applyFill="1" applyBorder="1" applyAlignment="1">
      <alignment horizontal="center" vertical="top" wrapText="1"/>
    </xf>
    <xf numFmtId="0" fontId="28" fillId="4" borderId="1" xfId="15" applyFont="1" applyFill="1" applyBorder="1" applyAlignment="1">
      <alignment horizontal="center" vertical="top" wrapText="1"/>
    </xf>
    <xf numFmtId="185" fontId="28" fillId="4" borderId="1" xfId="16" applyNumberFormat="1" applyFont="1" applyFill="1" applyBorder="1" applyAlignment="1">
      <alignment horizontal="center" vertical="top" wrapText="1"/>
    </xf>
    <xf numFmtId="10" fontId="28" fillId="4" borderId="1" xfId="17" applyNumberFormat="1" applyFont="1" applyFill="1" applyBorder="1" applyAlignment="1">
      <alignment horizontal="center" vertical="top" wrapText="1"/>
    </xf>
    <xf numFmtId="0" fontId="28" fillId="3" borderId="1" xfId="15" applyFont="1" applyFill="1" applyBorder="1" applyAlignment="1">
      <alignment wrapText="1"/>
    </xf>
    <xf numFmtId="0" fontId="28" fillId="0" borderId="1" xfId="15" applyFont="1" applyFill="1" applyBorder="1" applyAlignment="1">
      <alignment wrapText="1"/>
    </xf>
    <xf numFmtId="49" fontId="28" fillId="0" borderId="1" xfId="15" applyNumberFormat="1" applyFont="1" applyFill="1" applyBorder="1" applyAlignment="1">
      <alignment horizontal="left" vertical="center"/>
    </xf>
    <xf numFmtId="49" fontId="28" fillId="0" borderId="60" xfId="15" applyNumberFormat="1" applyFont="1" applyFill="1" applyBorder="1" applyAlignment="1">
      <alignment horizontal="center" vertical="center"/>
    </xf>
    <xf numFmtId="49" fontId="31" fillId="8" borderId="67" xfId="15" applyNumberFormat="1" applyFont="1" applyFill="1" applyBorder="1" applyAlignment="1">
      <alignment horizontal="center" vertical="center"/>
    </xf>
    <xf numFmtId="0" fontId="28" fillId="0" borderId="1" xfId="15" applyFont="1" applyFill="1" applyBorder="1" applyAlignment="1">
      <alignment horizontal="justify" wrapText="1"/>
    </xf>
    <xf numFmtId="186" fontId="28" fillId="0" borderId="0" xfId="15" applyNumberFormat="1" applyFont="1" applyFill="1"/>
    <xf numFmtId="49" fontId="31" fillId="4" borderId="6" xfId="15" applyNumberFormat="1" applyFont="1" applyFill="1" applyBorder="1" applyAlignment="1">
      <alignment horizontal="center" vertical="center"/>
    </xf>
    <xf numFmtId="10" fontId="31" fillId="4" borderId="5" xfId="17" applyNumberFormat="1" applyFont="1" applyFill="1" applyBorder="1" applyAlignment="1">
      <alignment horizontal="center"/>
    </xf>
    <xf numFmtId="4" fontId="30" fillId="4" borderId="1" xfId="15" applyNumberFormat="1" applyFont="1" applyFill="1" applyBorder="1"/>
    <xf numFmtId="49" fontId="28" fillId="0" borderId="0" xfId="15" applyNumberFormat="1" applyFont="1" applyFill="1"/>
    <xf numFmtId="49" fontId="28" fillId="0" borderId="0" xfId="15" applyNumberFormat="1" applyFont="1" applyFill="1" applyAlignment="1">
      <alignment horizontal="center"/>
    </xf>
    <xf numFmtId="1" fontId="28" fillId="0" borderId="0" xfId="15" applyNumberFormat="1" applyFont="1" applyFill="1"/>
    <xf numFmtId="0" fontId="28" fillId="0" borderId="0" xfId="15" applyFont="1" applyFill="1" applyAlignment="1">
      <alignment horizontal="center"/>
    </xf>
    <xf numFmtId="184" fontId="28" fillId="0" borderId="0" xfId="16" applyNumberFormat="1" applyFont="1" applyFill="1"/>
    <xf numFmtId="187" fontId="28" fillId="0" borderId="0" xfId="15" applyNumberFormat="1" applyFont="1" applyFill="1" applyAlignment="1">
      <alignment horizontal="center"/>
    </xf>
    <xf numFmtId="4" fontId="28" fillId="0" borderId="0" xfId="15" applyNumberFormat="1" applyFont="1" applyFill="1"/>
    <xf numFmtId="188" fontId="28" fillId="0" borderId="0" xfId="15" applyNumberFormat="1" applyFont="1" applyFill="1"/>
    <xf numFmtId="0" fontId="16" fillId="0" borderId="0" xfId="0" applyFont="1" applyFill="1"/>
    <xf numFmtId="0" fontId="16" fillId="0" borderId="1" xfId="0" applyFont="1" applyFill="1" applyBorder="1" applyAlignment="1">
      <alignment vertical="center" wrapText="1"/>
    </xf>
    <xf numFmtId="0" fontId="15" fillId="4" borderId="15" xfId="0" applyFont="1" applyFill="1" applyBorder="1" applyAlignment="1">
      <alignment horizontal="center" vertical="center"/>
    </xf>
    <xf numFmtId="0" fontId="18" fillId="4" borderId="1" xfId="0" applyFont="1" applyFill="1" applyBorder="1" applyAlignment="1">
      <alignment horizontal="center" vertical="center"/>
    </xf>
    <xf numFmtId="0" fontId="16" fillId="4" borderId="1" xfId="0" applyFont="1" applyFill="1" applyBorder="1" applyAlignment="1">
      <alignment vertical="center" wrapText="1"/>
    </xf>
    <xf numFmtId="0" fontId="24" fillId="0" borderId="1" xfId="0" applyFont="1" applyFill="1" applyBorder="1" applyAlignment="1">
      <alignment horizontal="center" vertical="center"/>
    </xf>
    <xf numFmtId="0" fontId="35" fillId="0" borderId="0" xfId="0" applyFont="1"/>
    <xf numFmtId="0" fontId="15" fillId="0" borderId="0" xfId="0" applyFont="1" applyAlignment="1">
      <alignment vertical="center" wrapText="1"/>
    </xf>
    <xf numFmtId="0" fontId="19" fillId="9" borderId="74" xfId="0" applyFont="1" applyFill="1" applyBorder="1" applyAlignment="1">
      <alignment horizontal="center" vertical="center" wrapText="1"/>
    </xf>
    <xf numFmtId="0" fontId="19" fillId="9" borderId="75" xfId="0" applyFont="1" applyFill="1" applyBorder="1" applyAlignment="1">
      <alignment horizontal="center" vertical="center" wrapText="1"/>
    </xf>
    <xf numFmtId="2" fontId="17" fillId="0" borderId="1" xfId="0" applyNumberFormat="1" applyFont="1" applyFill="1" applyBorder="1" applyAlignment="1">
      <alignment horizontal="center" vertical="center"/>
    </xf>
    <xf numFmtId="169" fontId="17" fillId="0" borderId="69" xfId="0" applyNumberFormat="1" applyFont="1" applyBorder="1" applyAlignment="1">
      <alignment vertical="center" wrapText="1"/>
    </xf>
    <xf numFmtId="2" fontId="17" fillId="0" borderId="78" xfId="0" applyNumberFormat="1" applyFont="1" applyFill="1" applyBorder="1" applyAlignment="1">
      <alignment horizontal="center" vertical="center"/>
    </xf>
    <xf numFmtId="169" fontId="17" fillId="0" borderId="70" xfId="0" applyNumberFormat="1" applyFont="1" applyBorder="1" applyAlignment="1">
      <alignment vertical="center" wrapText="1"/>
    </xf>
    <xf numFmtId="0" fontId="16" fillId="0" borderId="0" xfId="0" applyFont="1"/>
    <xf numFmtId="0" fontId="16" fillId="4" borderId="0" xfId="0" applyFont="1" applyFill="1"/>
    <xf numFmtId="2" fontId="12" fillId="4" borderId="1" xfId="0" applyNumberFormat="1" applyFont="1" applyFill="1" applyBorder="1" applyAlignment="1">
      <alignment horizontal="left" vertical="top"/>
    </xf>
    <xf numFmtId="0" fontId="14" fillId="4" borderId="1" xfId="0" applyNumberFormat="1" applyFont="1" applyFill="1" applyBorder="1" applyAlignment="1">
      <alignment vertical="top" wrapText="1"/>
    </xf>
    <xf numFmtId="0" fontId="16" fillId="0" borderId="0" xfId="0" applyFont="1" applyAlignment="1">
      <alignment horizontal="center" vertical="center"/>
    </xf>
    <xf numFmtId="0" fontId="15" fillId="0" borderId="0" xfId="0" applyFont="1" applyAlignment="1">
      <alignment horizontal="center" vertical="center" wrapText="1"/>
    </xf>
    <xf numFmtId="0" fontId="19" fillId="9" borderId="0"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6" fillId="4" borderId="1" xfId="0" applyFont="1" applyFill="1" applyBorder="1"/>
    <xf numFmtId="0" fontId="16" fillId="0" borderId="82" xfId="0" applyFont="1" applyFill="1" applyBorder="1" applyAlignment="1">
      <alignment horizontal="center" vertical="center"/>
    </xf>
    <xf numFmtId="0" fontId="15" fillId="0" borderId="1" xfId="0" applyFont="1" applyBorder="1" applyAlignment="1">
      <alignment horizontal="center"/>
    </xf>
    <xf numFmtId="169" fontId="16" fillId="10" borderId="1" xfId="0" applyNumberFormat="1" applyFont="1" applyFill="1" applyBorder="1" applyAlignment="1">
      <alignment horizontal="right" vertical="center"/>
    </xf>
    <xf numFmtId="169" fontId="16" fillId="0" borderId="1" xfId="0" applyNumberFormat="1" applyFont="1" applyFill="1" applyBorder="1" applyAlignment="1">
      <alignment horizontal="right" vertical="center"/>
    </xf>
    <xf numFmtId="0" fontId="15" fillId="4" borderId="1" xfId="0" applyFont="1" applyFill="1" applyBorder="1" applyAlignment="1">
      <alignment horizontal="center"/>
    </xf>
    <xf numFmtId="0" fontId="16" fillId="4" borderId="1" xfId="0" applyFont="1" applyFill="1" applyBorder="1" applyAlignment="1">
      <alignment horizontal="left" vertical="center"/>
    </xf>
    <xf numFmtId="0" fontId="16" fillId="0" borderId="1" xfId="0" applyFont="1" applyBorder="1"/>
    <xf numFmtId="0" fontId="15" fillId="4" borderId="7" xfId="0" applyFont="1" applyFill="1" applyBorder="1" applyAlignment="1"/>
    <xf numFmtId="0" fontId="15" fillId="4" borderId="5" xfId="0" applyFont="1" applyFill="1" applyBorder="1" applyAlignment="1"/>
    <xf numFmtId="169" fontId="16" fillId="4" borderId="1" xfId="0" applyNumberFormat="1" applyFont="1" applyFill="1" applyBorder="1" applyAlignment="1">
      <alignment horizontal="right" vertical="center"/>
    </xf>
    <xf numFmtId="0" fontId="16" fillId="6" borderId="1" xfId="0" applyFont="1" applyFill="1" applyBorder="1"/>
    <xf numFmtId="0" fontId="16" fillId="0" borderId="1" xfId="0" applyFont="1" applyFill="1" applyBorder="1" applyAlignment="1">
      <alignment horizontal="center" wrapText="1"/>
    </xf>
    <xf numFmtId="0" fontId="15" fillId="4" borderId="1" xfId="0" applyFont="1" applyFill="1" applyBorder="1" applyAlignment="1"/>
    <xf numFmtId="0" fontId="16" fillId="0" borderId="0" xfId="0" applyFont="1" applyAlignment="1">
      <alignment horizontal="center"/>
    </xf>
    <xf numFmtId="0" fontId="16" fillId="0" borderId="16" xfId="0" applyFont="1" applyFill="1" applyBorder="1"/>
    <xf numFmtId="0" fontId="15" fillId="4" borderId="6" xfId="0" applyFont="1" applyFill="1" applyBorder="1" applyAlignment="1"/>
    <xf numFmtId="0" fontId="16" fillId="6" borderId="1" xfId="0" applyFont="1" applyFill="1" applyBorder="1" applyAlignment="1">
      <alignment horizontal="left" vertical="center"/>
    </xf>
    <xf numFmtId="169" fontId="16" fillId="8" borderId="1" xfId="0" applyNumberFormat="1" applyFont="1" applyFill="1" applyBorder="1" applyAlignment="1">
      <alignment horizontal="right" vertical="center"/>
    </xf>
    <xf numFmtId="0" fontId="15" fillId="0" borderId="16" xfId="0" applyFont="1" applyFill="1" applyBorder="1" applyAlignment="1">
      <alignment horizontal="center"/>
    </xf>
    <xf numFmtId="169" fontId="16" fillId="10" borderId="16" xfId="0" applyNumberFormat="1" applyFont="1" applyFill="1" applyBorder="1" applyAlignment="1">
      <alignment horizontal="right" vertical="center"/>
    </xf>
    <xf numFmtId="2" fontId="16" fillId="0" borderId="15" xfId="0" applyNumberFormat="1" applyFont="1" applyFill="1" applyBorder="1" applyAlignment="1">
      <alignment horizontal="center" vertical="center"/>
    </xf>
    <xf numFmtId="2" fontId="16" fillId="0" borderId="15" xfId="0" applyNumberFormat="1" applyFont="1" applyFill="1" applyBorder="1" applyAlignment="1">
      <alignment horizontal="left" vertical="center"/>
    </xf>
    <xf numFmtId="2" fontId="16" fillId="4" borderId="15" xfId="0" applyNumberFormat="1" applyFont="1" applyFill="1" applyBorder="1" applyAlignment="1">
      <alignment horizontal="center" vertical="center"/>
    </xf>
    <xf numFmtId="2" fontId="16" fillId="4" borderId="15" xfId="0" applyNumberFormat="1" applyFont="1" applyFill="1" applyBorder="1" applyAlignment="1">
      <alignment horizontal="left" vertical="center"/>
    </xf>
    <xf numFmtId="0" fontId="24" fillId="0" borderId="1" xfId="0" applyFont="1" applyBorder="1"/>
    <xf numFmtId="0" fontId="24" fillId="0" borderId="0" xfId="0" applyFont="1"/>
    <xf numFmtId="0" fontId="16" fillId="0" borderId="1" xfId="0" applyFont="1" applyBorder="1" applyAlignment="1">
      <alignment horizontal="center"/>
    </xf>
    <xf numFmtId="2" fontId="16" fillId="4" borderId="1" xfId="0" applyNumberFormat="1" applyFont="1" applyFill="1" applyBorder="1" applyAlignment="1">
      <alignment horizontal="center" vertical="center"/>
    </xf>
    <xf numFmtId="0" fontId="16" fillId="4" borderId="1" xfId="0" applyFont="1" applyFill="1" applyBorder="1" applyAlignment="1">
      <alignment horizontal="center"/>
    </xf>
    <xf numFmtId="2" fontId="18" fillId="0" borderId="15" xfId="0" applyNumberFormat="1" applyFont="1" applyFill="1" applyBorder="1" applyAlignment="1">
      <alignment horizontal="left" vertical="center"/>
    </xf>
    <xf numFmtId="2" fontId="18" fillId="0" borderId="15" xfId="0" applyNumberFormat="1" applyFont="1" applyFill="1" applyBorder="1" applyAlignment="1">
      <alignment horizontal="center" vertical="center"/>
    </xf>
    <xf numFmtId="169" fontId="18" fillId="0" borderId="1" xfId="0" applyNumberFormat="1" applyFont="1" applyFill="1" applyBorder="1" applyAlignment="1">
      <alignment horizontal="right" vertical="center"/>
    </xf>
    <xf numFmtId="0" fontId="34" fillId="0" borderId="0" xfId="0" applyFont="1"/>
    <xf numFmtId="169" fontId="22" fillId="3" borderId="10" xfId="1" applyNumberFormat="1" applyFont="1" applyFill="1" applyBorder="1"/>
    <xf numFmtId="169" fontId="15" fillId="4" borderId="1" xfId="0" applyNumberFormat="1" applyFont="1" applyFill="1" applyBorder="1" applyProtection="1"/>
    <xf numFmtId="44" fontId="0" fillId="0" borderId="0" xfId="5" applyFont="1"/>
    <xf numFmtId="2" fontId="13" fillId="4" borderId="1" xfId="0" applyNumberFormat="1" applyFont="1" applyFill="1" applyBorder="1" applyAlignment="1">
      <alignment horizontal="center" vertical="center"/>
    </xf>
    <xf numFmtId="0" fontId="0" fillId="0" borderId="1" xfId="0" applyBorder="1" applyAlignment="1">
      <alignment horizontal="center" vertical="center" wrapText="1"/>
    </xf>
    <xf numFmtId="1" fontId="0" fillId="0" borderId="1" xfId="0" applyNumberFormat="1" applyBorder="1" applyAlignment="1">
      <alignment horizontal="center" vertical="center"/>
    </xf>
    <xf numFmtId="2"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left" vertical="center"/>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right" vertical="center" wrapText="1"/>
    </xf>
    <xf numFmtId="164" fontId="12" fillId="0" borderId="1" xfId="0" applyNumberFormat="1" applyFont="1" applyFill="1" applyBorder="1" applyAlignment="1">
      <alignment horizontal="right" vertical="center" wrapText="1"/>
    </xf>
    <xf numFmtId="166" fontId="12" fillId="0" borderId="1" xfId="0" applyNumberFormat="1" applyFont="1" applyFill="1" applyBorder="1" applyAlignment="1">
      <alignment horizontal="right" vertical="center" wrapText="1"/>
    </xf>
    <xf numFmtId="1" fontId="0" fillId="0" borderId="1" xfId="0" applyNumberFormat="1" applyBorder="1" applyAlignment="1">
      <alignment horizontal="center" vertical="top"/>
    </xf>
    <xf numFmtId="2" fontId="12" fillId="0" borderId="1" xfId="0" applyNumberFormat="1" applyFont="1" applyFill="1" applyBorder="1" applyAlignment="1">
      <alignment horizontal="left" vertical="top"/>
    </xf>
    <xf numFmtId="0" fontId="12" fillId="0" borderId="1" xfId="0" applyFont="1" applyFill="1" applyBorder="1" applyAlignment="1">
      <alignment horizontal="center" wrapText="1"/>
    </xf>
    <xf numFmtId="3" fontId="12" fillId="0" borderId="1" xfId="0" applyNumberFormat="1" applyFont="1" applyFill="1" applyBorder="1" applyAlignment="1">
      <alignment horizontal="right" wrapText="1"/>
    </xf>
    <xf numFmtId="164" fontId="12" fillId="0" borderId="1" xfId="0" applyNumberFormat="1" applyFont="1" applyFill="1" applyBorder="1" applyAlignment="1">
      <alignment horizontal="right" wrapText="1"/>
    </xf>
    <xf numFmtId="166" fontId="12" fillId="0" borderId="1" xfId="0" applyNumberFormat="1" applyFont="1" applyFill="1" applyBorder="1" applyAlignment="1">
      <alignment horizontal="right" wrapText="1"/>
    </xf>
    <xf numFmtId="2" fontId="12" fillId="0" borderId="1" xfId="0" applyNumberFormat="1" applyFont="1" applyFill="1" applyBorder="1" applyAlignment="1">
      <alignment horizontal="left" vertical="top" wrapText="1"/>
    </xf>
    <xf numFmtId="0" fontId="12" fillId="0" borderId="1" xfId="0" applyNumberFormat="1" applyFont="1" applyFill="1" applyBorder="1" applyAlignment="1">
      <alignment vertical="top" wrapText="1"/>
    </xf>
    <xf numFmtId="174" fontId="12" fillId="0" borderId="1" xfId="0" applyNumberFormat="1" applyFont="1" applyFill="1" applyBorder="1" applyAlignment="1">
      <alignment horizontal="center" vertical="center"/>
    </xf>
    <xf numFmtId="0" fontId="0" fillId="0" borderId="1" xfId="0" applyBorder="1" applyAlignment="1">
      <alignment horizontal="center"/>
    </xf>
    <xf numFmtId="2" fontId="0" fillId="0" borderId="1" xfId="0" applyNumberFormat="1" applyBorder="1" applyAlignment="1">
      <alignment horizontal="center"/>
    </xf>
    <xf numFmtId="0" fontId="0" fillId="0" borderId="1" xfId="0" applyBorder="1" applyAlignment="1"/>
    <xf numFmtId="2" fontId="12" fillId="0" borderId="1" xfId="0" applyNumberFormat="1" applyFont="1" applyFill="1" applyBorder="1" applyAlignment="1">
      <alignment horizontal="left" vertical="center" wrapText="1"/>
    </xf>
    <xf numFmtId="191" fontId="12" fillId="0" borderId="1" xfId="0" applyNumberFormat="1" applyFont="1" applyFill="1" applyBorder="1" applyAlignment="1">
      <alignment horizontal="center" wrapText="1"/>
    </xf>
    <xf numFmtId="0" fontId="18" fillId="0" borderId="0" xfId="1" applyNumberFormat="1" applyFont="1" applyFill="1" applyBorder="1" applyAlignment="1">
      <alignment horizontal="center" vertical="center" wrapText="1"/>
    </xf>
    <xf numFmtId="168" fontId="18" fillId="0" borderId="10" xfId="0" applyNumberFormat="1" applyFont="1" applyFill="1" applyBorder="1" applyAlignment="1">
      <alignment horizontal="center" wrapText="1"/>
    </xf>
    <xf numFmtId="178" fontId="18" fillId="0" borderId="26" xfId="0" applyNumberFormat="1" applyFont="1" applyFill="1" applyBorder="1" applyAlignment="1">
      <alignment horizontal="right" wrapText="1"/>
    </xf>
    <xf numFmtId="171" fontId="12" fillId="0" borderId="1" xfId="0" applyNumberFormat="1" applyFont="1" applyFill="1" applyBorder="1" applyAlignment="1">
      <alignment horizontal="center" wrapText="1"/>
    </xf>
    <xf numFmtId="0" fontId="16" fillId="0" borderId="8" xfId="0" applyFont="1" applyFill="1" applyBorder="1" applyAlignment="1">
      <alignment horizontal="center"/>
    </xf>
    <xf numFmtId="0" fontId="0" fillId="0" borderId="0" xfId="0" applyFont="1" applyFill="1"/>
    <xf numFmtId="0" fontId="15" fillId="0" borderId="9" xfId="0" applyFont="1" applyFill="1" applyBorder="1"/>
    <xf numFmtId="0" fontId="16" fillId="0" borderId="0" xfId="0" applyFont="1" applyFill="1" applyBorder="1"/>
    <xf numFmtId="0" fontId="15" fillId="0" borderId="5" xfId="0" applyFont="1" applyFill="1" applyBorder="1" applyAlignment="1">
      <alignment horizontal="center" vertical="center" wrapText="1"/>
    </xf>
    <xf numFmtId="2" fontId="15" fillId="0" borderId="8" xfId="0" applyNumberFormat="1" applyFont="1" applyFill="1" applyBorder="1" applyAlignment="1">
      <alignment horizontal="center"/>
    </xf>
    <xf numFmtId="0" fontId="16" fillId="0" borderId="12" xfId="1" applyFont="1" applyFill="1" applyBorder="1" applyAlignment="1">
      <alignment horizontal="center" vertical="center" wrapText="1"/>
    </xf>
    <xf numFmtId="169" fontId="16" fillId="0" borderId="8" xfId="1" applyNumberFormat="1" applyFont="1" applyFill="1" applyBorder="1" applyAlignment="1">
      <alignment vertical="center"/>
    </xf>
    <xf numFmtId="43" fontId="16" fillId="0" borderId="8" xfId="10" applyNumberFormat="1" applyFont="1" applyFill="1" applyBorder="1" applyAlignment="1">
      <alignment vertical="center"/>
    </xf>
    <xf numFmtId="9" fontId="16" fillId="0" borderId="11" xfId="11" applyFont="1" applyFill="1" applyBorder="1" applyAlignment="1">
      <alignment horizontal="left" vertical="center" wrapText="1"/>
    </xf>
    <xf numFmtId="170" fontId="16" fillId="0" borderId="8" xfId="0" applyNumberFormat="1" applyFont="1" applyFill="1" applyBorder="1" applyAlignment="1">
      <alignment horizontal="right" vertical="center" wrapText="1"/>
    </xf>
    <xf numFmtId="0" fontId="16" fillId="0" borderId="10" xfId="1" applyNumberFormat="1" applyFont="1" applyFill="1" applyBorder="1" applyAlignment="1">
      <alignment horizontal="center" vertical="center" wrapText="1"/>
    </xf>
    <xf numFmtId="169" fontId="16" fillId="0" borderId="13" xfId="1" applyNumberFormat="1" applyFont="1" applyFill="1" applyBorder="1"/>
    <xf numFmtId="43" fontId="16" fillId="0" borderId="13" xfId="10" applyNumberFormat="1" applyFont="1" applyFill="1" applyBorder="1" applyAlignment="1">
      <alignment vertical="center"/>
    </xf>
    <xf numFmtId="9" fontId="16" fillId="0" borderId="9" xfId="11" applyFont="1" applyFill="1" applyBorder="1" applyAlignment="1">
      <alignment horizontal="left" vertical="center" wrapText="1"/>
    </xf>
    <xf numFmtId="170" fontId="16" fillId="0" borderId="13" xfId="0" applyNumberFormat="1" applyFont="1" applyFill="1" applyBorder="1" applyAlignment="1">
      <alignment horizontal="right" vertical="center" wrapText="1"/>
    </xf>
    <xf numFmtId="0" fontId="16" fillId="0" borderId="15" xfId="1" applyFont="1" applyFill="1" applyBorder="1" applyAlignment="1">
      <alignment horizontal="center" vertical="center" wrapText="1"/>
    </xf>
    <xf numFmtId="169" fontId="16" fillId="0" borderId="16" xfId="1" applyNumberFormat="1" applyFont="1" applyFill="1" applyBorder="1"/>
    <xf numFmtId="171" fontId="16" fillId="0" borderId="16" xfId="10" applyNumberFormat="1" applyFont="1" applyFill="1" applyBorder="1" applyAlignment="1">
      <alignment vertical="center"/>
    </xf>
    <xf numFmtId="9" fontId="16" fillId="0" borderId="14" xfId="11" applyFont="1" applyFill="1" applyBorder="1"/>
    <xf numFmtId="170" fontId="16" fillId="0" borderId="16" xfId="0" applyNumberFormat="1" applyFont="1" applyFill="1" applyBorder="1" applyAlignment="1">
      <alignment horizontal="right" vertical="center" wrapText="1"/>
    </xf>
    <xf numFmtId="0" fontId="15" fillId="0" borderId="17" xfId="0" applyFont="1" applyFill="1" applyBorder="1" applyAlignment="1">
      <alignment horizontal="right"/>
    </xf>
    <xf numFmtId="169" fontId="16" fillId="0" borderId="16" xfId="0" applyNumberFormat="1" applyFont="1" applyFill="1" applyBorder="1"/>
    <xf numFmtId="0" fontId="15" fillId="0" borderId="20" xfId="0" applyFont="1" applyFill="1" applyBorder="1" applyAlignment="1">
      <alignment horizontal="center" vertical="center" wrapText="1"/>
    </xf>
    <xf numFmtId="0" fontId="15" fillId="0" borderId="20" xfId="0" applyFont="1" applyFill="1" applyBorder="1" applyAlignment="1">
      <alignment horizontal="center"/>
    </xf>
    <xf numFmtId="0" fontId="15" fillId="0" borderId="20" xfId="0" applyFont="1" applyFill="1" applyBorder="1" applyAlignment="1"/>
    <xf numFmtId="2" fontId="15" fillId="0" borderId="21" xfId="0" applyNumberFormat="1" applyFont="1" applyFill="1" applyBorder="1" applyAlignment="1">
      <alignment horizontal="center"/>
    </xf>
    <xf numFmtId="0" fontId="16" fillId="0" borderId="24" xfId="1" applyFont="1" applyFill="1" applyBorder="1" applyAlignment="1">
      <alignment horizontal="center" vertical="center" wrapText="1"/>
    </xf>
    <xf numFmtId="169" fontId="16" fillId="0" borderId="24" xfId="1" applyNumberFormat="1" applyFont="1" applyFill="1" applyBorder="1" applyAlignment="1">
      <alignment vertical="center"/>
    </xf>
    <xf numFmtId="168" fontId="16" fillId="0" borderId="25" xfId="0" applyNumberFormat="1" applyFont="1" applyFill="1" applyBorder="1" applyAlignment="1">
      <alignment horizontal="center" vertical="center" wrapText="1"/>
    </xf>
    <xf numFmtId="168" fontId="16" fillId="0" borderId="26" xfId="0" applyNumberFormat="1" applyFont="1" applyFill="1" applyBorder="1" applyAlignment="1">
      <alignment horizontal="right" wrapText="1"/>
    </xf>
    <xf numFmtId="170" fontId="16" fillId="0" borderId="27" xfId="0" applyNumberFormat="1" applyFont="1" applyFill="1" applyBorder="1" applyAlignment="1">
      <alignment vertical="center"/>
    </xf>
    <xf numFmtId="0" fontId="16" fillId="0" borderId="13" xfId="1" applyNumberFormat="1" applyFont="1" applyFill="1" applyBorder="1" applyAlignment="1">
      <alignment horizontal="center" vertical="center" wrapText="1"/>
    </xf>
    <xf numFmtId="169" fontId="16" fillId="0" borderId="13" xfId="1" applyNumberFormat="1" applyFont="1" applyFill="1" applyBorder="1" applyAlignment="1">
      <alignment vertical="center"/>
    </xf>
    <xf numFmtId="168" fontId="16" fillId="0" borderId="10" xfId="0" applyNumberFormat="1" applyFont="1" applyFill="1" applyBorder="1" applyAlignment="1">
      <alignment horizontal="right" wrapText="1"/>
    </xf>
    <xf numFmtId="168" fontId="16" fillId="0" borderId="26" xfId="0" applyNumberFormat="1" applyFont="1" applyFill="1" applyBorder="1" applyAlignment="1">
      <alignment horizontal="right" vertical="center" wrapText="1"/>
    </xf>
    <xf numFmtId="169" fontId="16" fillId="0" borderId="13" xfId="0" applyNumberFormat="1" applyFont="1" applyFill="1" applyBorder="1"/>
    <xf numFmtId="168" fontId="16" fillId="0" borderId="13" xfId="0" applyNumberFormat="1" applyFont="1" applyFill="1" applyBorder="1" applyAlignment="1">
      <alignment horizontal="center" wrapText="1"/>
    </xf>
    <xf numFmtId="0" fontId="16" fillId="0" borderId="25" xfId="0" applyFont="1" applyFill="1" applyBorder="1"/>
    <xf numFmtId="0" fontId="16" fillId="0" borderId="26" xfId="0" applyFont="1" applyFill="1" applyBorder="1" applyAlignment="1">
      <alignment horizontal="center" vertical="center" wrapText="1"/>
    </xf>
    <xf numFmtId="168" fontId="16" fillId="0" borderId="26" xfId="0" applyNumberFormat="1" applyFont="1" applyFill="1" applyBorder="1" applyAlignment="1">
      <alignment horizontal="center" wrapText="1"/>
    </xf>
    <xf numFmtId="170" fontId="16" fillId="0" borderId="27" xfId="0" applyNumberFormat="1" applyFont="1" applyFill="1" applyBorder="1"/>
    <xf numFmtId="0" fontId="16" fillId="0" borderId="29" xfId="0" applyFont="1" applyFill="1" applyBorder="1"/>
    <xf numFmtId="0" fontId="16" fillId="0" borderId="30" xfId="0" applyFont="1" applyFill="1" applyBorder="1" applyAlignment="1">
      <alignment horizontal="center" vertical="center" wrapText="1"/>
    </xf>
    <xf numFmtId="172" fontId="16" fillId="0" borderId="30" xfId="0" applyNumberFormat="1" applyFont="1" applyFill="1" applyBorder="1"/>
    <xf numFmtId="168" fontId="16" fillId="0" borderId="30" xfId="0" applyNumberFormat="1" applyFont="1" applyFill="1" applyBorder="1" applyAlignment="1">
      <alignment horizontal="center" wrapText="1"/>
    </xf>
    <xf numFmtId="0" fontId="16" fillId="0" borderId="30" xfId="0" applyFont="1" applyFill="1" applyBorder="1"/>
    <xf numFmtId="2" fontId="16" fillId="0" borderId="27" xfId="0" applyNumberFormat="1" applyFont="1" applyFill="1" applyBorder="1"/>
    <xf numFmtId="0" fontId="16" fillId="0" borderId="0" xfId="0" applyFont="1" applyFill="1" applyBorder="1" applyAlignment="1">
      <alignment horizontal="center" vertical="center" wrapText="1"/>
    </xf>
    <xf numFmtId="0" fontId="15" fillId="0" borderId="0" xfId="0" applyFont="1" applyFill="1" applyBorder="1" applyAlignment="1">
      <alignment horizontal="right"/>
    </xf>
    <xf numFmtId="0" fontId="16" fillId="0" borderId="25" xfId="0" applyNumberFormat="1" applyFont="1" applyFill="1" applyBorder="1" applyAlignment="1">
      <alignment wrapText="1"/>
    </xf>
    <xf numFmtId="173" fontId="16" fillId="0" borderId="26" xfId="0" applyNumberFormat="1" applyFont="1" applyFill="1" applyBorder="1" applyAlignment="1">
      <alignment horizontal="center" vertical="center" wrapText="1"/>
    </xf>
    <xf numFmtId="43" fontId="16" fillId="0" borderId="26" xfId="10" applyFont="1" applyFill="1" applyBorder="1" applyAlignment="1">
      <alignment horizontal="center" vertical="center" wrapText="1"/>
    </xf>
    <xf numFmtId="169" fontId="16" fillId="0" borderId="26" xfId="0" applyNumberFormat="1" applyFont="1" applyFill="1" applyBorder="1"/>
    <xf numFmtId="169" fontId="16" fillId="0" borderId="27" xfId="0" applyNumberFormat="1" applyFont="1" applyFill="1" applyBorder="1"/>
    <xf numFmtId="0" fontId="16" fillId="0" borderId="25" xfId="0" applyFont="1" applyFill="1" applyBorder="1" applyAlignment="1">
      <alignment wrapText="1"/>
    </xf>
    <xf numFmtId="172" fontId="16" fillId="0" borderId="32" xfId="0" applyNumberFormat="1" applyFont="1" applyFill="1" applyBorder="1"/>
    <xf numFmtId="0" fontId="15" fillId="0" borderId="33" xfId="0" applyFont="1" applyFill="1" applyBorder="1" applyAlignment="1">
      <alignment horizontal="right"/>
    </xf>
    <xf numFmtId="169" fontId="16" fillId="0" borderId="21" xfId="0" applyNumberFormat="1" applyFont="1" applyFill="1" applyBorder="1"/>
    <xf numFmtId="172" fontId="16" fillId="0" borderId="26" xfId="0" applyNumberFormat="1" applyFont="1" applyFill="1" applyBorder="1"/>
    <xf numFmtId="0" fontId="16" fillId="0" borderId="26" xfId="0" applyFont="1" applyFill="1" applyBorder="1"/>
    <xf numFmtId="172" fontId="16" fillId="0" borderId="27" xfId="0" applyNumberFormat="1" applyFont="1" applyFill="1" applyBorder="1"/>
    <xf numFmtId="169" fontId="16" fillId="0" borderId="10" xfId="0" applyNumberFormat="1" applyFont="1" applyFill="1" applyBorder="1"/>
    <xf numFmtId="0" fontId="15" fillId="0" borderId="34" xfId="0" applyFont="1" applyFill="1" applyBorder="1" applyAlignment="1">
      <alignment horizontal="right"/>
    </xf>
    <xf numFmtId="0" fontId="0" fillId="4" borderId="1" xfId="0" applyFill="1" applyBorder="1" applyAlignment="1">
      <alignment horizontal="center" vertical="center" wrapText="1"/>
    </xf>
    <xf numFmtId="0" fontId="12" fillId="0" borderId="16" xfId="0" applyFont="1" applyFill="1" applyBorder="1" applyAlignment="1">
      <alignment horizontal="center" wrapText="1"/>
    </xf>
    <xf numFmtId="0" fontId="0" fillId="0" borderId="0" xfId="0" applyAlignment="1">
      <alignment horizontal="center" vertical="center"/>
    </xf>
    <xf numFmtId="0" fontId="12" fillId="0" borderId="1" xfId="0" applyNumberFormat="1" applyFont="1" applyFill="1" applyBorder="1" applyAlignment="1">
      <alignment vertical="center" wrapText="1"/>
    </xf>
    <xf numFmtId="44" fontId="0" fillId="0" borderId="0" xfId="5" applyFont="1" applyAlignment="1">
      <alignment vertical="center"/>
    </xf>
    <xf numFmtId="1" fontId="12" fillId="0" borderId="1" xfId="0" applyNumberFormat="1" applyFont="1" applyFill="1" applyBorder="1" applyAlignment="1">
      <alignment horizontal="center" vertical="center"/>
    </xf>
    <xf numFmtId="0" fontId="12" fillId="3" borderId="1" xfId="0" applyFont="1" applyFill="1" applyBorder="1" applyAlignment="1">
      <alignment horizontal="center" wrapText="1"/>
    </xf>
    <xf numFmtId="1" fontId="0" fillId="3" borderId="1" xfId="0" applyNumberFormat="1" applyFill="1" applyBorder="1" applyAlignment="1">
      <alignment horizontal="center" vertical="top"/>
    </xf>
    <xf numFmtId="3" fontId="12" fillId="3" borderId="1" xfId="0" applyNumberFormat="1" applyFont="1" applyFill="1" applyBorder="1" applyAlignment="1">
      <alignment horizontal="right" wrapText="1"/>
    </xf>
    <xf numFmtId="164" fontId="12" fillId="3" borderId="1" xfId="0" applyNumberFormat="1" applyFont="1" applyFill="1" applyBorder="1" applyAlignment="1">
      <alignment horizontal="right" wrapText="1"/>
    </xf>
    <xf numFmtId="166" fontId="12" fillId="3" borderId="1" xfId="0" applyNumberFormat="1" applyFont="1" applyFill="1" applyBorder="1" applyAlignment="1">
      <alignment horizontal="right" wrapText="1"/>
    </xf>
    <xf numFmtId="0" fontId="12" fillId="0" borderId="1" xfId="0" applyFont="1" applyFill="1" applyBorder="1" applyAlignment="1">
      <alignment horizontal="left" wrapText="1"/>
    </xf>
    <xf numFmtId="2" fontId="12" fillId="3" borderId="1"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0" fontId="12" fillId="4" borderId="8" xfId="0" applyFont="1" applyFill="1" applyBorder="1" applyAlignment="1">
      <alignment horizontal="center" wrapText="1"/>
    </xf>
    <xf numFmtId="3" fontId="12" fillId="4" borderId="8" xfId="0" applyNumberFormat="1" applyFont="1" applyFill="1" applyBorder="1" applyAlignment="1">
      <alignment horizontal="right" wrapText="1"/>
    </xf>
    <xf numFmtId="164" fontId="12" fillId="4" borderId="8" xfId="0" applyNumberFormat="1" applyFont="1" applyFill="1" applyBorder="1" applyAlignment="1">
      <alignment horizontal="right" wrapText="1"/>
    </xf>
    <xf numFmtId="166" fontId="12" fillId="4" borderId="8" xfId="0" applyNumberFormat="1" applyFont="1" applyFill="1" applyBorder="1" applyAlignment="1">
      <alignment horizontal="right" wrapText="1"/>
    </xf>
    <xf numFmtId="3" fontId="12" fillId="0" borderId="16" xfId="0" applyNumberFormat="1" applyFont="1" applyFill="1" applyBorder="1" applyAlignment="1">
      <alignment horizontal="right" wrapText="1"/>
    </xf>
    <xf numFmtId="164" fontId="12" fillId="0" borderId="16" xfId="0" applyNumberFormat="1" applyFont="1" applyFill="1" applyBorder="1" applyAlignment="1">
      <alignment horizontal="right" wrapText="1"/>
    </xf>
    <xf numFmtId="166" fontId="12" fillId="0" borderId="16" xfId="0" applyNumberFormat="1" applyFont="1" applyFill="1" applyBorder="1" applyAlignment="1">
      <alignment horizontal="right" wrapText="1"/>
    </xf>
    <xf numFmtId="180" fontId="18" fillId="0" borderId="40" xfId="10" applyNumberFormat="1" applyFont="1" applyFill="1" applyBorder="1" applyAlignment="1">
      <alignment horizontal="center" vertical="center" wrapText="1"/>
    </xf>
    <xf numFmtId="193" fontId="22" fillId="0" borderId="40" xfId="6" applyNumberFormat="1" applyFont="1" applyFill="1" applyBorder="1" applyAlignment="1">
      <alignment horizontal="right" wrapText="1"/>
    </xf>
    <xf numFmtId="0" fontId="12" fillId="3" borderId="1" xfId="0" applyNumberFormat="1" applyFont="1" applyFill="1" applyBorder="1" applyAlignment="1">
      <alignment vertical="top" wrapText="1"/>
    </xf>
    <xf numFmtId="1" fontId="12" fillId="4"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174" fontId="12" fillId="3" borderId="1" xfId="0" applyNumberFormat="1" applyFont="1" applyFill="1" applyBorder="1" applyAlignment="1">
      <alignment horizontal="center" vertical="center"/>
    </xf>
    <xf numFmtId="174" fontId="12" fillId="4" borderId="1" xfId="0" applyNumberFormat="1" applyFont="1" applyFill="1" applyBorder="1" applyAlignment="1">
      <alignment horizontal="center" vertical="center"/>
    </xf>
    <xf numFmtId="2" fontId="13" fillId="4" borderId="5" xfId="0" applyNumberFormat="1" applyFont="1" applyFill="1" applyBorder="1" applyAlignment="1">
      <alignment horizontal="left" vertical="top"/>
    </xf>
    <xf numFmtId="2" fontId="12" fillId="0" borderId="5" xfId="0" applyNumberFormat="1" applyFont="1" applyFill="1" applyBorder="1" applyAlignment="1">
      <alignment horizontal="left" vertical="center"/>
    </xf>
    <xf numFmtId="2" fontId="12" fillId="0" borderId="5" xfId="0" applyNumberFormat="1" applyFont="1" applyFill="1" applyBorder="1" applyAlignment="1">
      <alignment horizontal="left" vertical="top"/>
    </xf>
    <xf numFmtId="2" fontId="12" fillId="4" borderId="5" xfId="0" applyNumberFormat="1" applyFont="1" applyFill="1" applyBorder="1" applyAlignment="1">
      <alignment horizontal="left" vertical="top"/>
    </xf>
    <xf numFmtId="2" fontId="12" fillId="0" borderId="5" xfId="0" applyNumberFormat="1" applyFont="1" applyFill="1" applyBorder="1" applyAlignment="1">
      <alignment horizontal="left" vertical="top" wrapText="1"/>
    </xf>
    <xf numFmtId="1" fontId="12" fillId="4" borderId="1" xfId="0" applyNumberFormat="1" applyFont="1" applyFill="1" applyBorder="1" applyAlignment="1">
      <alignment horizontal="center" vertical="top"/>
    </xf>
    <xf numFmtId="1" fontId="13" fillId="4" borderId="1" xfId="0" applyNumberFormat="1" applyFont="1" applyFill="1" applyBorder="1" applyAlignment="1">
      <alignment horizontal="center" vertical="center"/>
    </xf>
    <xf numFmtId="0" fontId="13" fillId="0" borderId="1" xfId="0" applyNumberFormat="1" applyFont="1" applyFill="1" applyBorder="1" applyAlignment="1">
      <alignment vertical="top" wrapText="1"/>
    </xf>
    <xf numFmtId="0" fontId="5" fillId="0" borderId="0" xfId="0" applyFont="1" applyAlignment="1"/>
    <xf numFmtId="0" fontId="0" fillId="0" borderId="0" xfId="0" applyFont="1"/>
    <xf numFmtId="0" fontId="1" fillId="0" borderId="0" xfId="0" applyFont="1" applyAlignment="1">
      <alignment horizontal="center" vertical="top"/>
    </xf>
    <xf numFmtId="0" fontId="13" fillId="0" borderId="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 fillId="0" borderId="1" xfId="0" applyNumberFormat="1" applyFont="1" applyBorder="1" applyAlignment="1">
      <alignment vertical="top" wrapText="1"/>
    </xf>
    <xf numFmtId="0" fontId="0" fillId="0" borderId="0" xfId="0" applyFont="1" applyAlignment="1">
      <alignment horizontal="center"/>
    </xf>
    <xf numFmtId="0" fontId="0" fillId="4" borderId="1" xfId="0" applyFont="1" applyFill="1" applyBorder="1" applyAlignment="1">
      <alignment horizontal="center" vertical="top"/>
    </xf>
    <xf numFmtId="0" fontId="0" fillId="0" borderId="1" xfId="0" applyFont="1" applyBorder="1" applyAlignment="1">
      <alignment horizontal="center" vertical="center" wrapText="1"/>
    </xf>
    <xf numFmtId="1" fontId="0" fillId="0" borderId="1" xfId="0" applyNumberFormat="1" applyFont="1" applyBorder="1" applyAlignment="1">
      <alignment horizontal="center" vertical="center"/>
    </xf>
    <xf numFmtId="191" fontId="37" fillId="0" borderId="1" xfId="9" applyNumberFormat="1" applyFont="1" applyFill="1" applyBorder="1" applyAlignment="1">
      <alignment horizontal="right" vertical="center"/>
    </xf>
    <xf numFmtId="3" fontId="0" fillId="0" borderId="0" xfId="0" applyNumberFormat="1" applyFont="1"/>
    <xf numFmtId="1" fontId="0" fillId="0" borderId="1" xfId="0" applyNumberFormat="1" applyFont="1" applyBorder="1" applyAlignment="1">
      <alignment horizontal="center" vertical="top"/>
    </xf>
    <xf numFmtId="191" fontId="37" fillId="3" borderId="1" xfId="9" applyNumberFormat="1" applyFont="1" applyFill="1" applyBorder="1" applyAlignment="1">
      <alignment horizontal="right" vertical="center"/>
    </xf>
    <xf numFmtId="1" fontId="0" fillId="4" borderId="1" xfId="0" applyNumberFormat="1" applyFont="1" applyFill="1" applyBorder="1" applyAlignment="1">
      <alignment horizontal="center" vertical="top"/>
    </xf>
    <xf numFmtId="191" fontId="12" fillId="0" borderId="1" xfId="9" applyNumberFormat="1" applyFont="1" applyFill="1" applyBorder="1" applyAlignment="1">
      <alignment horizontal="right" vertical="center"/>
    </xf>
    <xf numFmtId="191" fontId="37" fillId="4" borderId="1" xfId="9" applyNumberFormat="1" applyFont="1" applyFill="1" applyBorder="1" applyAlignment="1">
      <alignment horizontal="center" vertical="center"/>
    </xf>
    <xf numFmtId="191" fontId="37" fillId="0" borderId="1" xfId="9" applyNumberFormat="1" applyFont="1" applyFill="1" applyBorder="1" applyAlignment="1">
      <alignment horizontal="center" vertical="center"/>
    </xf>
    <xf numFmtId="191" fontId="37" fillId="3" borderId="1" xfId="9" applyNumberFormat="1" applyFont="1" applyFill="1" applyBorder="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vertical="center"/>
    </xf>
    <xf numFmtId="0" fontId="0" fillId="0" borderId="0" xfId="0" applyFont="1" applyAlignment="1">
      <alignment vertical="center"/>
    </xf>
    <xf numFmtId="191" fontId="12" fillId="3" borderId="1" xfId="9" applyNumberFormat="1" applyFont="1" applyFill="1" applyBorder="1" applyAlignment="1">
      <alignment horizontal="right" vertical="center"/>
    </xf>
    <xf numFmtId="41" fontId="0" fillId="0" borderId="1" xfId="9" applyNumberFormat="1" applyFont="1" applyFill="1" applyBorder="1" applyAlignment="1">
      <alignment horizontal="center" vertical="center"/>
    </xf>
    <xf numFmtId="191" fontId="12" fillId="0" borderId="1" xfId="9" applyNumberFormat="1" applyFont="1" applyFill="1" applyBorder="1" applyAlignment="1">
      <alignment horizontal="center" vertical="center"/>
    </xf>
    <xf numFmtId="191" fontId="0" fillId="0" borderId="1" xfId="9" applyNumberFormat="1" applyFont="1" applyFill="1" applyBorder="1" applyAlignment="1">
      <alignment horizontal="center" vertical="center"/>
    </xf>
    <xf numFmtId="0" fontId="13" fillId="4" borderId="1" xfId="0" applyFont="1" applyFill="1" applyBorder="1" applyAlignment="1">
      <alignment vertical="center" wrapText="1"/>
    </xf>
    <xf numFmtId="191" fontId="0" fillId="3" borderId="1" xfId="9" applyNumberFormat="1" applyFont="1" applyFill="1" applyBorder="1" applyAlignment="1">
      <alignment horizontal="center" vertical="center"/>
    </xf>
    <xf numFmtId="191" fontId="0" fillId="0" borderId="1" xfId="9" applyNumberFormat="1" applyFont="1" applyFill="1" applyBorder="1" applyAlignment="1">
      <alignment horizontal="right" vertical="center"/>
    </xf>
    <xf numFmtId="191" fontId="0" fillId="3" borderId="1" xfId="9" applyNumberFormat="1" applyFont="1" applyFill="1" applyBorder="1" applyAlignment="1">
      <alignment horizontal="right" vertical="center"/>
    </xf>
    <xf numFmtId="191" fontId="0" fillId="4" borderId="1" xfId="9" applyNumberFormat="1" applyFont="1" applyFill="1" applyBorder="1" applyAlignment="1">
      <alignment horizontal="right" vertical="center"/>
    </xf>
    <xf numFmtId="1" fontId="0" fillId="3" borderId="1" xfId="0" applyNumberFormat="1" applyFont="1" applyFill="1" applyBorder="1" applyAlignment="1">
      <alignment horizontal="center" vertical="top"/>
    </xf>
    <xf numFmtId="0" fontId="0" fillId="0" borderId="0" xfId="0" applyFont="1" applyAlignment="1">
      <alignment vertical="center" wrapText="1"/>
    </xf>
    <xf numFmtId="0" fontId="0" fillId="0" borderId="0" xfId="0" applyFont="1" applyAlignment="1"/>
    <xf numFmtId="0" fontId="38" fillId="4" borderId="1" xfId="0" applyFont="1" applyFill="1" applyBorder="1" applyAlignment="1">
      <alignment vertical="center" wrapText="1"/>
    </xf>
    <xf numFmtId="0" fontId="12" fillId="4" borderId="1" xfId="0" applyFont="1" applyFill="1" applyBorder="1" applyAlignment="1">
      <alignment horizontal="center" vertical="center"/>
    </xf>
    <xf numFmtId="191" fontId="37" fillId="3" borderId="1" xfId="9" applyNumberFormat="1" applyFont="1" applyFill="1" applyBorder="1" applyAlignment="1">
      <alignment vertical="center"/>
    </xf>
    <xf numFmtId="2" fontId="0" fillId="0" borderId="0" xfId="0" applyNumberFormat="1" applyFont="1" applyAlignment="1">
      <alignment horizontal="center"/>
    </xf>
    <xf numFmtId="0" fontId="12" fillId="0" borderId="2" xfId="3" applyFont="1" applyFill="1" applyBorder="1" applyAlignment="1">
      <alignment horizontal="center"/>
    </xf>
    <xf numFmtId="0" fontId="12" fillId="0" borderId="2" xfId="3" applyFont="1" applyFill="1" applyBorder="1" applyAlignment="1"/>
    <xf numFmtId="3" fontId="12" fillId="0" borderId="2" xfId="3" applyNumberFormat="1" applyFont="1" applyFill="1" applyBorder="1" applyAlignment="1">
      <alignment horizontal="right" wrapText="1"/>
    </xf>
    <xf numFmtId="0" fontId="12" fillId="0" borderId="3" xfId="3" applyFont="1" applyFill="1" applyBorder="1" applyAlignment="1">
      <alignment horizontal="center"/>
    </xf>
    <xf numFmtId="0" fontId="12" fillId="0" borderId="3" xfId="3" applyFont="1" applyFill="1" applyBorder="1" applyAlignment="1"/>
    <xf numFmtId="3" fontId="12" fillId="0" borderId="3" xfId="3" applyNumberFormat="1" applyFont="1" applyFill="1" applyBorder="1" applyAlignment="1">
      <alignment horizontal="right" wrapText="1"/>
    </xf>
    <xf numFmtId="3" fontId="1" fillId="0" borderId="3" xfId="3" applyNumberFormat="1" applyFont="1" applyFill="1" applyBorder="1" applyAlignment="1">
      <alignment horizontal="right" wrapText="1"/>
    </xf>
    <xf numFmtId="0" fontId="13" fillId="0" borderId="3" xfId="3" applyFont="1" applyFill="1" applyBorder="1" applyAlignment="1">
      <alignment horizontal="center"/>
    </xf>
    <xf numFmtId="0" fontId="13" fillId="0" borderId="3" xfId="3" applyFont="1" applyFill="1" applyBorder="1" applyAlignment="1"/>
    <xf numFmtId="0" fontId="13" fillId="0" borderId="3" xfId="3" applyFont="1" applyFill="1" applyBorder="1" applyAlignment="1">
      <alignment horizontal="right"/>
    </xf>
    <xf numFmtId="9" fontId="12" fillId="0" borderId="3" xfId="4" applyFont="1" applyFill="1" applyBorder="1" applyAlignment="1">
      <alignment horizontal="center"/>
    </xf>
    <xf numFmtId="9" fontId="12" fillId="0" borderId="3" xfId="4" applyFont="1" applyFill="1" applyBorder="1"/>
    <xf numFmtId="0" fontId="12" fillId="3" borderId="3" xfId="3" applyFont="1" applyFill="1" applyBorder="1" applyAlignment="1"/>
    <xf numFmtId="0" fontId="13" fillId="0" borderId="3" xfId="3" applyFont="1" applyFill="1" applyBorder="1" applyAlignment="1">
      <alignment horizontal="left"/>
    </xf>
    <xf numFmtId="9" fontId="13" fillId="0" borderId="4" xfId="4" applyFont="1" applyFill="1" applyBorder="1" applyAlignment="1">
      <alignment horizontal="center"/>
    </xf>
    <xf numFmtId="9" fontId="13" fillId="0" borderId="4" xfId="4" applyFont="1" applyFill="1" applyBorder="1"/>
    <xf numFmtId="0" fontId="13" fillId="0" borderId="4" xfId="3" applyFont="1" applyFill="1" applyBorder="1" applyAlignment="1"/>
    <xf numFmtId="0" fontId="1" fillId="0" borderId="0" xfId="0" applyFont="1" applyAlignment="1">
      <alignment horizontal="center" vertical="center"/>
    </xf>
    <xf numFmtId="0" fontId="1" fillId="0" borderId="1" xfId="0" applyNumberFormat="1" applyFont="1" applyBorder="1" applyAlignment="1">
      <alignment vertical="center" wrapText="1"/>
    </xf>
    <xf numFmtId="0" fontId="0" fillId="4" borderId="1" xfId="0" applyFont="1" applyFill="1" applyBorder="1" applyAlignment="1">
      <alignment horizontal="center" vertical="center"/>
    </xf>
    <xf numFmtId="2" fontId="13" fillId="4" borderId="1" xfId="0" applyNumberFormat="1" applyFont="1" applyFill="1" applyBorder="1" applyAlignment="1">
      <alignment horizontal="left" vertical="center"/>
    </xf>
    <xf numFmtId="3" fontId="12" fillId="4" borderId="1" xfId="0" applyNumberFormat="1" applyFont="1" applyFill="1" applyBorder="1" applyAlignment="1">
      <alignment horizontal="right" vertical="center" wrapText="1"/>
    </xf>
    <xf numFmtId="164" fontId="12" fillId="4" borderId="1" xfId="0" applyNumberFormat="1" applyFont="1" applyFill="1" applyBorder="1" applyAlignment="1">
      <alignment horizontal="right" vertical="center" wrapText="1"/>
    </xf>
    <xf numFmtId="1" fontId="0" fillId="4" borderId="1" xfId="0" applyNumberFormat="1" applyFont="1" applyFill="1" applyBorder="1" applyAlignment="1">
      <alignment horizontal="center" vertical="center"/>
    </xf>
    <xf numFmtId="2" fontId="12" fillId="4" borderId="1" xfId="0" applyNumberFormat="1" applyFont="1" applyFill="1" applyBorder="1" applyAlignment="1">
      <alignment horizontal="left" vertical="center"/>
    </xf>
    <xf numFmtId="0" fontId="12" fillId="4" borderId="1" xfId="0" applyFont="1" applyFill="1" applyBorder="1" applyAlignment="1">
      <alignment horizontal="center" vertical="center" wrapText="1"/>
    </xf>
    <xf numFmtId="0" fontId="13" fillId="4" borderId="1" xfId="0" applyNumberFormat="1" applyFont="1" applyFill="1" applyBorder="1" applyAlignment="1">
      <alignment vertical="center" wrapText="1"/>
    </xf>
    <xf numFmtId="190" fontId="0" fillId="0" borderId="0" xfId="0" applyNumberFormat="1" applyFont="1" applyAlignment="1">
      <alignment vertical="center"/>
    </xf>
    <xf numFmtId="0" fontId="12" fillId="3"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1" fontId="0" fillId="3" borderId="1"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3" fontId="12" fillId="3" borderId="1" xfId="0" applyNumberFormat="1" applyFont="1" applyFill="1" applyBorder="1" applyAlignment="1">
      <alignment horizontal="right" vertical="center" wrapText="1"/>
    </xf>
    <xf numFmtId="2" fontId="0" fillId="0" borderId="0" xfId="0" applyNumberFormat="1" applyFont="1" applyAlignment="1">
      <alignment horizontal="center" vertical="center"/>
    </xf>
    <xf numFmtId="0" fontId="0" fillId="0" borderId="16" xfId="0" applyFont="1" applyBorder="1" applyAlignment="1">
      <alignment vertical="center"/>
    </xf>
    <xf numFmtId="0" fontId="12" fillId="0" borderId="16" xfId="0"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2" xfId="3" applyFont="1" applyFill="1" applyBorder="1" applyAlignment="1">
      <alignment vertical="center"/>
    </xf>
    <xf numFmtId="3" fontId="12" fillId="0" borderId="2" xfId="3" applyNumberFormat="1" applyFont="1" applyFill="1" applyBorder="1" applyAlignment="1">
      <alignment horizontal="right" vertical="center" wrapText="1"/>
    </xf>
    <xf numFmtId="0" fontId="12" fillId="0" borderId="3" xfId="3" applyFont="1" applyFill="1" applyBorder="1" applyAlignment="1">
      <alignment horizontal="center" vertical="center"/>
    </xf>
    <xf numFmtId="0" fontId="12" fillId="0" borderId="3" xfId="3" applyFont="1" applyFill="1" applyBorder="1" applyAlignment="1">
      <alignment vertical="center"/>
    </xf>
    <xf numFmtId="3" fontId="12" fillId="0" borderId="3" xfId="3" applyNumberFormat="1" applyFont="1" applyFill="1" applyBorder="1" applyAlignment="1">
      <alignment horizontal="right" vertical="center" wrapText="1"/>
    </xf>
    <xf numFmtId="3" fontId="1" fillId="0" borderId="3" xfId="3" applyNumberFormat="1" applyFont="1" applyFill="1" applyBorder="1" applyAlignment="1">
      <alignment horizontal="right" vertical="center" wrapText="1"/>
    </xf>
    <xf numFmtId="0" fontId="13" fillId="0" borderId="3" xfId="3" applyFont="1" applyFill="1" applyBorder="1" applyAlignment="1">
      <alignment horizontal="center" vertical="center"/>
    </xf>
    <xf numFmtId="0" fontId="13" fillId="0" borderId="3" xfId="3" applyFont="1" applyFill="1" applyBorder="1" applyAlignment="1">
      <alignment vertical="center"/>
    </xf>
    <xf numFmtId="0" fontId="13" fillId="0" borderId="3" xfId="3" applyFont="1" applyFill="1" applyBorder="1" applyAlignment="1">
      <alignment horizontal="right" vertical="center"/>
    </xf>
    <xf numFmtId="9" fontId="12" fillId="0" borderId="3" xfId="4" applyFont="1" applyFill="1" applyBorder="1" applyAlignment="1">
      <alignment horizontal="center" vertical="center"/>
    </xf>
    <xf numFmtId="9" fontId="12" fillId="0" borderId="3" xfId="4" applyFont="1" applyFill="1" applyBorder="1" applyAlignment="1">
      <alignment vertical="center"/>
    </xf>
    <xf numFmtId="0" fontId="12" fillId="3" borderId="3" xfId="3" applyFont="1" applyFill="1" applyBorder="1" applyAlignment="1">
      <alignment vertical="center"/>
    </xf>
    <xf numFmtId="0" fontId="13" fillId="0" borderId="3" xfId="3" applyFont="1" applyFill="1" applyBorder="1" applyAlignment="1">
      <alignment horizontal="left" vertical="center"/>
    </xf>
    <xf numFmtId="9" fontId="13" fillId="0" borderId="4" xfId="4" applyFont="1" applyFill="1" applyBorder="1" applyAlignment="1">
      <alignment horizontal="center" vertical="center"/>
    </xf>
    <xf numFmtId="9" fontId="13" fillId="0" borderId="4" xfId="4" applyFont="1" applyFill="1" applyBorder="1" applyAlignment="1">
      <alignment vertical="center"/>
    </xf>
    <xf numFmtId="0" fontId="13" fillId="0" borderId="4" xfId="3" applyFont="1" applyFill="1" applyBorder="1" applyAlignment="1">
      <alignment vertical="center"/>
    </xf>
    <xf numFmtId="167" fontId="0" fillId="0" borderId="0" xfId="0" applyNumberFormat="1" applyFont="1" applyAlignment="1">
      <alignment vertical="center"/>
    </xf>
    <xf numFmtId="167" fontId="0" fillId="0" borderId="0" xfId="5" applyNumberFormat="1" applyFont="1" applyAlignment="1">
      <alignment vertical="center"/>
    </xf>
    <xf numFmtId="3" fontId="12" fillId="0" borderId="1" xfId="0" applyNumberFormat="1" applyFont="1" applyFill="1" applyBorder="1" applyAlignment="1">
      <alignment vertical="center" wrapText="1"/>
    </xf>
    <xf numFmtId="0" fontId="12" fillId="3" borderId="1" xfId="0" applyFont="1" applyFill="1" applyBorder="1" applyAlignment="1">
      <alignment vertical="center" wrapText="1"/>
    </xf>
    <xf numFmtId="191" fontId="12" fillId="3" borderId="1" xfId="9" applyNumberFormat="1" applyFont="1" applyFill="1" applyBorder="1" applyAlignment="1">
      <alignment horizontal="center" vertical="center"/>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xf>
    <xf numFmtId="2" fontId="0" fillId="0" borderId="1" xfId="0" applyNumberFormat="1" applyFont="1" applyBorder="1" applyAlignment="1">
      <alignment horizontal="center"/>
    </xf>
    <xf numFmtId="0" fontId="0" fillId="0" borderId="1" xfId="0" applyFont="1" applyBorder="1" applyAlignment="1"/>
    <xf numFmtId="0" fontId="13" fillId="0" borderId="0" xfId="1" applyFont="1" applyFill="1" applyBorder="1" applyAlignment="1">
      <alignment horizontal="center" vertical="center" wrapText="1"/>
    </xf>
    <xf numFmtId="171" fontId="37" fillId="0" borderId="1" xfId="9" applyNumberFormat="1" applyFont="1" applyFill="1" applyBorder="1" applyAlignment="1">
      <alignment horizontal="right" vertical="center"/>
    </xf>
    <xf numFmtId="171" fontId="37" fillId="4" borderId="1" xfId="9" applyNumberFormat="1" applyFont="1" applyFill="1" applyBorder="1" applyAlignment="1">
      <alignment horizontal="center" vertical="center"/>
    </xf>
    <xf numFmtId="171" fontId="12" fillId="0" borderId="1" xfId="9" applyNumberFormat="1" applyFont="1" applyFill="1" applyBorder="1" applyAlignment="1">
      <alignment horizontal="right" vertical="center"/>
    </xf>
    <xf numFmtId="171" fontId="37" fillId="0" borderId="1" xfId="9" applyNumberFormat="1" applyFont="1" applyFill="1" applyBorder="1" applyAlignment="1">
      <alignment horizontal="center" vertical="center"/>
    </xf>
    <xf numFmtId="171" fontId="37" fillId="3" borderId="1" xfId="9" applyNumberFormat="1" applyFont="1" applyFill="1" applyBorder="1" applyAlignment="1">
      <alignment horizontal="center" vertical="center"/>
    </xf>
    <xf numFmtId="171" fontId="12" fillId="3" borderId="1" xfId="9" applyNumberFormat="1" applyFont="1" applyFill="1" applyBorder="1" applyAlignment="1">
      <alignment horizontal="right" vertical="center"/>
    </xf>
    <xf numFmtId="171" fontId="0" fillId="3" borderId="1" xfId="9" applyNumberFormat="1" applyFont="1" applyFill="1" applyBorder="1" applyAlignment="1">
      <alignment horizontal="center" vertical="center"/>
    </xf>
    <xf numFmtId="171" fontId="0" fillId="0" borderId="1" xfId="9" applyNumberFormat="1" applyFont="1" applyFill="1" applyBorder="1" applyAlignment="1">
      <alignment horizontal="center" vertical="center"/>
    </xf>
    <xf numFmtId="171" fontId="37" fillId="4" borderId="1" xfId="9" applyNumberFormat="1" applyFont="1" applyFill="1" applyBorder="1" applyAlignment="1">
      <alignment horizontal="right" vertical="center"/>
    </xf>
    <xf numFmtId="171" fontId="0" fillId="3" borderId="1" xfId="9" applyNumberFormat="1" applyFont="1" applyFill="1" applyBorder="1" applyAlignment="1">
      <alignment horizontal="right" vertical="center"/>
    </xf>
    <xf numFmtId="171" fontId="0" fillId="0" borderId="1" xfId="9" applyNumberFormat="1" applyFont="1" applyFill="1" applyBorder="1" applyAlignment="1">
      <alignment horizontal="right" vertical="center"/>
    </xf>
    <xf numFmtId="171" fontId="0" fillId="4" borderId="1" xfId="9" applyNumberFormat="1" applyFont="1" applyFill="1" applyBorder="1" applyAlignment="1">
      <alignment horizontal="right" vertical="center"/>
    </xf>
    <xf numFmtId="171" fontId="37" fillId="0" borderId="1" xfId="9" applyNumberFormat="1" applyFont="1" applyFill="1" applyBorder="1" applyAlignment="1">
      <alignment vertical="center"/>
    </xf>
    <xf numFmtId="0" fontId="18" fillId="0" borderId="11" xfId="0" applyFont="1" applyFill="1" applyBorder="1"/>
    <xf numFmtId="0" fontId="18" fillId="0" borderId="37" xfId="0" applyFont="1" applyFill="1" applyBorder="1"/>
    <xf numFmtId="0" fontId="18" fillId="0" borderId="37" xfId="0" applyFont="1" applyBorder="1"/>
    <xf numFmtId="0" fontId="18" fillId="0" borderId="37" xfId="0" applyFont="1" applyFill="1" applyBorder="1" applyAlignment="1">
      <alignment horizontal="center" vertical="center" wrapText="1"/>
    </xf>
    <xf numFmtId="0" fontId="15" fillId="0" borderId="37" xfId="0" applyFont="1" applyFill="1" applyBorder="1" applyAlignment="1">
      <alignment horizontal="right"/>
    </xf>
    <xf numFmtId="0" fontId="12" fillId="0" borderId="0" xfId="0" applyFont="1"/>
    <xf numFmtId="0" fontId="12" fillId="0" borderId="0" xfId="0" applyFont="1" applyAlignment="1">
      <alignment horizontal="center"/>
    </xf>
    <xf numFmtId="0" fontId="12" fillId="0" borderId="0" xfId="0" applyFont="1" applyAlignment="1"/>
    <xf numFmtId="0" fontId="12" fillId="4" borderId="6" xfId="0" applyFont="1" applyFill="1" applyBorder="1" applyAlignment="1">
      <alignment horizontal="center" vertical="top"/>
    </xf>
    <xf numFmtId="0" fontId="12" fillId="4" borderId="1" xfId="0" applyFont="1" applyFill="1" applyBorder="1" applyAlignment="1">
      <alignment horizontal="center" vertical="top"/>
    </xf>
    <xf numFmtId="0" fontId="12" fillId="0" borderId="0" xfId="0" applyFont="1" applyAlignment="1">
      <alignment horizontal="center" vertical="center" wrapText="1"/>
    </xf>
    <xf numFmtId="1" fontId="12" fillId="0" borderId="1" xfId="0" applyNumberFormat="1" applyFont="1" applyBorder="1" applyAlignment="1">
      <alignment horizontal="center" vertical="center"/>
    </xf>
    <xf numFmtId="3" fontId="12" fillId="0" borderId="0" xfId="0" applyNumberFormat="1" applyFont="1"/>
    <xf numFmtId="1" fontId="12" fillId="0" borderId="1" xfId="0" applyNumberFormat="1" applyFont="1" applyBorder="1" applyAlignment="1">
      <alignment horizontal="center" vertical="top"/>
    </xf>
    <xf numFmtId="0" fontId="12" fillId="4" borderId="0" xfId="0" applyFont="1" applyFill="1" applyAlignment="1">
      <alignment horizontal="center" vertical="center" wrapText="1"/>
    </xf>
    <xf numFmtId="44" fontId="12" fillId="0" borderId="0" xfId="5" applyFont="1"/>
    <xf numFmtId="0" fontId="12" fillId="0" borderId="1" xfId="0" applyFont="1" applyBorder="1" applyAlignment="1">
      <alignment horizontal="center" vertical="center" wrapText="1"/>
    </xf>
    <xf numFmtId="2" fontId="12" fillId="0" borderId="1" xfId="0" applyNumberFormat="1" applyFont="1" applyBorder="1" applyAlignment="1">
      <alignment horizontal="center"/>
    </xf>
    <xf numFmtId="0" fontId="12" fillId="0" borderId="1" xfId="0" applyFont="1" applyBorder="1" applyAlignment="1"/>
    <xf numFmtId="2" fontId="12" fillId="0" borderId="0" xfId="0" applyNumberFormat="1" applyFont="1" applyAlignment="1">
      <alignment horizontal="center"/>
    </xf>
    <xf numFmtId="0" fontId="13" fillId="0" borderId="0" xfId="0" applyFont="1" applyAlignment="1">
      <alignment horizontal="center"/>
    </xf>
    <xf numFmtId="0" fontId="13" fillId="0" borderId="0" xfId="0" applyFont="1" applyAlignment="1">
      <alignment horizontal="center" vertical="top"/>
    </xf>
    <xf numFmtId="0" fontId="13" fillId="0" borderId="5" xfId="0" applyNumberFormat="1" applyFont="1" applyBorder="1" applyAlignment="1">
      <alignment vertical="top" wrapText="1"/>
    </xf>
    <xf numFmtId="3" fontId="13" fillId="0" borderId="3" xfId="3" applyNumberFormat="1" applyFont="1" applyFill="1" applyBorder="1" applyAlignment="1">
      <alignment horizontal="right" wrapText="1"/>
    </xf>
    <xf numFmtId="0" fontId="13" fillId="0" borderId="6" xfId="1" applyFont="1" applyFill="1" applyBorder="1" applyAlignment="1">
      <alignment horizontal="center" vertical="center" wrapText="1"/>
    </xf>
    <xf numFmtId="0" fontId="13" fillId="0" borderId="5" xfId="1" applyFont="1" applyFill="1" applyBorder="1" applyAlignment="1">
      <alignment horizontal="center" vertical="center" wrapText="1"/>
    </xf>
    <xf numFmtId="191" fontId="12" fillId="4" borderId="1" xfId="9" applyNumberFormat="1" applyFont="1" applyFill="1" applyBorder="1" applyAlignment="1">
      <alignment horizontal="center" vertical="center"/>
    </xf>
    <xf numFmtId="191" fontId="12" fillId="4" borderId="1" xfId="9" applyNumberFormat="1" applyFont="1" applyFill="1" applyBorder="1" applyAlignment="1">
      <alignment horizontal="right" vertical="center"/>
    </xf>
    <xf numFmtId="0" fontId="13" fillId="4" borderId="8" xfId="0" applyFont="1" applyFill="1" applyBorder="1" applyAlignment="1">
      <alignment vertical="center" wrapText="1"/>
    </xf>
    <xf numFmtId="0" fontId="0" fillId="4" borderId="6" xfId="0" applyFont="1" applyFill="1" applyBorder="1" applyAlignment="1">
      <alignment horizontal="center" vertical="top"/>
    </xf>
    <xf numFmtId="0" fontId="0" fillId="4" borderId="0" xfId="0" applyFont="1" applyFill="1" applyAlignment="1">
      <alignment horizontal="center" vertical="center" wrapText="1"/>
    </xf>
    <xf numFmtId="0" fontId="0" fillId="3" borderId="0" xfId="0" applyFont="1" applyFill="1" applyAlignment="1">
      <alignment horizontal="center" vertical="center" wrapText="1"/>
    </xf>
    <xf numFmtId="41" fontId="37" fillId="0" borderId="1" xfId="9" applyNumberFormat="1" applyFont="1" applyFill="1" applyBorder="1" applyAlignment="1">
      <alignment horizontal="center" vertical="center"/>
    </xf>
    <xf numFmtId="191" fontId="37" fillId="4" borderId="1" xfId="9" applyNumberFormat="1" applyFont="1" applyFill="1" applyBorder="1" applyAlignment="1">
      <alignment horizontal="right" vertical="center"/>
    </xf>
    <xf numFmtId="189" fontId="37" fillId="4" borderId="1" xfId="9" applyNumberFormat="1" applyFont="1" applyFill="1" applyBorder="1" applyAlignment="1">
      <alignment horizontal="center" vertical="center"/>
    </xf>
    <xf numFmtId="191" fontId="12" fillId="0" borderId="1" xfId="9" applyNumberFormat="1" applyFont="1" applyFill="1" applyBorder="1" applyAlignment="1">
      <alignment horizontal="right"/>
    </xf>
    <xf numFmtId="41" fontId="12" fillId="3" borderId="1" xfId="9" applyNumberFormat="1" applyFont="1" applyFill="1" applyBorder="1" applyAlignment="1">
      <alignment horizontal="right"/>
    </xf>
    <xf numFmtId="191" fontId="37" fillId="0" borderId="1" xfId="9" applyNumberFormat="1" applyFont="1" applyFill="1" applyBorder="1" applyAlignment="1">
      <alignment horizontal="right"/>
    </xf>
    <xf numFmtId="0" fontId="0" fillId="0" borderId="1" xfId="0" applyFont="1" applyBorder="1" applyAlignment="1">
      <alignment horizontal="center" wrapText="1"/>
    </xf>
    <xf numFmtId="1" fontId="0" fillId="0" borderId="1" xfId="0" applyNumberFormat="1" applyFont="1" applyBorder="1" applyAlignment="1">
      <alignment horizontal="center"/>
    </xf>
    <xf numFmtId="0" fontId="12" fillId="0" borderId="1" xfId="0" applyNumberFormat="1" applyFont="1" applyFill="1" applyBorder="1" applyAlignment="1">
      <alignment wrapText="1"/>
    </xf>
    <xf numFmtId="191" fontId="12" fillId="3" borderId="1" xfId="9" applyNumberFormat="1" applyFont="1" applyFill="1" applyBorder="1" applyAlignment="1">
      <alignment horizontal="right"/>
    </xf>
    <xf numFmtId="3" fontId="0" fillId="0" borderId="0" xfId="0" applyNumberFormat="1" applyFont="1" applyAlignment="1"/>
    <xf numFmtId="44" fontId="0" fillId="0" borderId="0" xfId="5" applyFont="1" applyAlignment="1"/>
    <xf numFmtId="41" fontId="12" fillId="0" borderId="1" xfId="9" applyNumberFormat="1" applyFont="1" applyFill="1" applyBorder="1" applyAlignment="1">
      <alignment horizontal="right"/>
    </xf>
    <xf numFmtId="0" fontId="12" fillId="3" borderId="0" xfId="0" applyFont="1" applyFill="1" applyBorder="1" applyAlignment="1">
      <alignment vertical="center" wrapText="1"/>
    </xf>
    <xf numFmtId="41" fontId="37" fillId="3" borderId="1" xfId="9" applyNumberFormat="1" applyFont="1" applyFill="1" applyBorder="1" applyAlignment="1">
      <alignment horizontal="center"/>
    </xf>
    <xf numFmtId="0" fontId="0" fillId="0" borderId="1" xfId="0" applyFont="1" applyBorder="1" applyAlignment="1">
      <alignment horizontal="center" vertical="center"/>
    </xf>
    <xf numFmtId="0" fontId="0" fillId="0" borderId="0" xfId="0" applyFont="1" applyAlignment="1">
      <alignment horizontal="right"/>
    </xf>
    <xf numFmtId="0" fontId="0" fillId="0" borderId="1" xfId="0" applyFont="1" applyBorder="1" applyAlignment="1">
      <alignment horizontal="right"/>
    </xf>
    <xf numFmtId="164" fontId="12" fillId="4" borderId="1" xfId="0" applyNumberFormat="1" applyFont="1" applyFill="1" applyBorder="1" applyAlignment="1">
      <alignment wrapText="1"/>
    </xf>
    <xf numFmtId="3" fontId="12" fillId="0" borderId="1" xfId="0" applyNumberFormat="1" applyFont="1" applyFill="1" applyBorder="1" applyAlignment="1">
      <alignment wrapText="1"/>
    </xf>
    <xf numFmtId="3" fontId="12" fillId="4" borderId="1" xfId="0" applyNumberFormat="1" applyFont="1" applyFill="1" applyBorder="1" applyAlignment="1">
      <alignment wrapText="1"/>
    </xf>
    <xf numFmtId="0" fontId="12" fillId="0" borderId="1" xfId="0" applyFont="1" applyFill="1" applyBorder="1" applyAlignment="1">
      <alignment wrapText="1"/>
    </xf>
    <xf numFmtId="9" fontId="12" fillId="0" borderId="3" xfId="4" applyFont="1" applyFill="1" applyBorder="1" applyAlignment="1"/>
    <xf numFmtId="9" fontId="13" fillId="0" borderId="4" xfId="4" applyFont="1" applyFill="1" applyBorder="1" applyAlignment="1"/>
    <xf numFmtId="3" fontId="12" fillId="4" borderId="8" xfId="0" applyNumberFormat="1" applyFont="1" applyFill="1" applyBorder="1" applyAlignment="1">
      <alignment wrapText="1"/>
    </xf>
    <xf numFmtId="3" fontId="12" fillId="0" borderId="16" xfId="0" applyNumberFormat="1" applyFont="1" applyFill="1" applyBorder="1" applyAlignment="1">
      <alignment wrapText="1"/>
    </xf>
    <xf numFmtId="0" fontId="13" fillId="0" borderId="0" xfId="0" applyFont="1" applyAlignment="1"/>
    <xf numFmtId="3" fontId="12" fillId="0" borderId="2" xfId="3" applyNumberFormat="1" applyFont="1" applyFill="1" applyBorder="1" applyAlignment="1">
      <alignment wrapText="1"/>
    </xf>
    <xf numFmtId="3" fontId="12" fillId="0" borderId="3" xfId="3" applyNumberFormat="1" applyFont="1" applyFill="1" applyBorder="1" applyAlignment="1">
      <alignment wrapText="1"/>
    </xf>
    <xf numFmtId="3" fontId="13" fillId="0" borderId="3" xfId="3" applyNumberFormat="1" applyFont="1" applyFill="1" applyBorder="1" applyAlignment="1">
      <alignment wrapText="1"/>
    </xf>
    <xf numFmtId="0" fontId="13" fillId="2" borderId="1" xfId="1" applyFont="1" applyFill="1" applyBorder="1" applyAlignment="1">
      <alignment wrapText="1"/>
    </xf>
    <xf numFmtId="0" fontId="13" fillId="0" borderId="0" xfId="1" applyFont="1" applyFill="1" applyBorder="1" applyAlignment="1">
      <alignment wrapText="1"/>
    </xf>
    <xf numFmtId="0" fontId="13" fillId="0" borderId="1" xfId="1" applyFont="1" applyFill="1" applyBorder="1" applyAlignment="1">
      <alignment wrapText="1"/>
    </xf>
    <xf numFmtId="0" fontId="13" fillId="0" borderId="0" xfId="0" applyFont="1" applyAlignment="1">
      <alignment horizontal="right"/>
    </xf>
    <xf numFmtId="0" fontId="12" fillId="0" borderId="0" xfId="0" applyFont="1" applyAlignment="1">
      <alignment horizontal="right"/>
    </xf>
    <xf numFmtId="0" fontId="13" fillId="2" borderId="1" xfId="1" applyFont="1" applyFill="1" applyBorder="1" applyAlignment="1">
      <alignment horizontal="right" wrapText="1"/>
    </xf>
    <xf numFmtId="0" fontId="13" fillId="0" borderId="0" xfId="1" applyFont="1" applyFill="1" applyBorder="1" applyAlignment="1">
      <alignment horizontal="right" wrapText="1"/>
    </xf>
    <xf numFmtId="0" fontId="13" fillId="0" borderId="1" xfId="1" applyFont="1" applyFill="1" applyBorder="1" applyAlignment="1">
      <alignment horizontal="right" wrapText="1"/>
    </xf>
    <xf numFmtId="0" fontId="12" fillId="0" borderId="1" xfId="0" applyFont="1" applyBorder="1" applyAlignment="1">
      <alignment horizontal="right"/>
    </xf>
    <xf numFmtId="41" fontId="12" fillId="0" borderId="1" xfId="0" applyNumberFormat="1" applyFont="1" applyFill="1" applyBorder="1" applyAlignment="1">
      <alignment horizontal="right"/>
    </xf>
    <xf numFmtId="0" fontId="12" fillId="0" borderId="1" xfId="0" applyFont="1" applyFill="1" applyBorder="1" applyAlignment="1">
      <alignment horizontal="right" wrapText="1"/>
    </xf>
    <xf numFmtId="0" fontId="12" fillId="0" borderId="2" xfId="3" applyFont="1" applyFill="1" applyBorder="1" applyAlignment="1">
      <alignment horizontal="right"/>
    </xf>
    <xf numFmtId="0" fontId="12" fillId="0" borderId="3" xfId="3" applyFont="1" applyFill="1" applyBorder="1" applyAlignment="1">
      <alignment horizontal="right"/>
    </xf>
    <xf numFmtId="9" fontId="12" fillId="0" borderId="3" xfId="4" applyFont="1" applyFill="1" applyBorder="1" applyAlignment="1">
      <alignment horizontal="right"/>
    </xf>
    <xf numFmtId="9" fontId="13" fillId="0" borderId="4" xfId="4" applyFont="1" applyFill="1" applyBorder="1" applyAlignment="1">
      <alignment horizontal="right"/>
    </xf>
    <xf numFmtId="191" fontId="12" fillId="4" borderId="1" xfId="9" applyNumberFormat="1" applyFont="1" applyFill="1" applyBorder="1" applyAlignment="1">
      <alignment horizontal="right"/>
    </xf>
    <xf numFmtId="0" fontId="12" fillId="3" borderId="1" xfId="0" applyFont="1" applyFill="1" applyBorder="1" applyAlignment="1">
      <alignment horizontal="right"/>
    </xf>
    <xf numFmtId="41" fontId="12" fillId="4" borderId="1" xfId="9" applyNumberFormat="1" applyFont="1" applyFill="1" applyBorder="1" applyAlignment="1">
      <alignment horizontal="right"/>
    </xf>
    <xf numFmtId="191" fontId="12" fillId="4" borderId="8" xfId="9" applyNumberFormat="1" applyFont="1" applyFill="1" applyBorder="1" applyAlignment="1">
      <alignment horizontal="right"/>
    </xf>
    <xf numFmtId="41" fontId="12" fillId="0" borderId="16" xfId="9" applyNumberFormat="1" applyFont="1" applyFill="1" applyBorder="1" applyAlignment="1">
      <alignment horizontal="right"/>
    </xf>
    <xf numFmtId="192" fontId="12" fillId="0" borderId="1" xfId="9" applyNumberFormat="1" applyFont="1" applyFill="1" applyBorder="1" applyAlignment="1">
      <alignment horizontal="right"/>
    </xf>
    <xf numFmtId="189" fontId="12" fillId="4" borderId="1" xfId="9" applyNumberFormat="1" applyFont="1" applyFill="1" applyBorder="1" applyAlignment="1">
      <alignment horizontal="right"/>
    </xf>
    <xf numFmtId="171" fontId="12" fillId="0" borderId="1" xfId="9" applyNumberFormat="1" applyFont="1" applyFill="1" applyBorder="1" applyAlignment="1">
      <alignment horizontal="right"/>
    </xf>
    <xf numFmtId="0" fontId="1" fillId="0" borderId="0" xfId="0" applyFont="1" applyAlignment="1">
      <alignment horizontal="right"/>
    </xf>
    <xf numFmtId="191" fontId="37" fillId="0" borderId="1" xfId="9" applyNumberFormat="1" applyFont="1" applyFill="1" applyBorder="1" applyAlignment="1"/>
    <xf numFmtId="191" fontId="12" fillId="0" borderId="1" xfId="9" applyNumberFormat="1" applyFont="1" applyFill="1" applyBorder="1" applyAlignment="1"/>
    <xf numFmtId="191" fontId="12" fillId="3" borderId="1" xfId="9" applyNumberFormat="1" applyFont="1" applyFill="1" applyBorder="1" applyAlignment="1"/>
    <xf numFmtId="41" fontId="12" fillId="0" borderId="1" xfId="9" applyNumberFormat="1" applyFont="1" applyFill="1" applyBorder="1" applyAlignment="1"/>
    <xf numFmtId="41" fontId="37" fillId="3" borderId="1" xfId="9" applyNumberFormat="1" applyFont="1" applyFill="1" applyBorder="1" applyAlignment="1"/>
    <xf numFmtId="0" fontId="12" fillId="3" borderId="1" xfId="0" applyFont="1" applyFill="1" applyBorder="1" applyAlignment="1">
      <alignment wrapText="1"/>
    </xf>
    <xf numFmtId="1" fontId="12" fillId="0" borderId="1" xfId="0" applyNumberFormat="1" applyFont="1" applyFill="1" applyBorder="1" applyAlignment="1">
      <alignment wrapText="1"/>
    </xf>
    <xf numFmtId="189" fontId="37" fillId="0" borderId="1" xfId="9" applyNumberFormat="1" applyFont="1" applyFill="1" applyBorder="1" applyAlignment="1"/>
    <xf numFmtId="191" fontId="37" fillId="4" borderId="1" xfId="9" applyNumberFormat="1" applyFont="1" applyFill="1" applyBorder="1" applyAlignment="1"/>
    <xf numFmtId="41" fontId="37" fillId="0" borderId="1" xfId="9" applyNumberFormat="1" applyFont="1" applyFill="1" applyBorder="1" applyAlignment="1"/>
    <xf numFmtId="191" fontId="12" fillId="4" borderId="1" xfId="9" applyNumberFormat="1" applyFont="1" applyFill="1" applyBorder="1" applyAlignment="1"/>
    <xf numFmtId="191" fontId="37" fillId="3" borderId="1" xfId="9" applyNumberFormat="1" applyFont="1" applyFill="1" applyBorder="1" applyAlignment="1"/>
    <xf numFmtId="189" fontId="37" fillId="4" borderId="1" xfId="9" applyNumberFormat="1" applyFont="1" applyFill="1" applyBorder="1" applyAlignment="1"/>
    <xf numFmtId="171" fontId="37" fillId="3" borderId="1" xfId="9" applyNumberFormat="1" applyFont="1" applyFill="1" applyBorder="1" applyAlignment="1"/>
    <xf numFmtId="0" fontId="13" fillId="4" borderId="1" xfId="0" applyNumberFormat="1" applyFont="1" applyFill="1" applyBorder="1" applyAlignment="1">
      <alignment wrapText="1"/>
    </xf>
    <xf numFmtId="3" fontId="1" fillId="0" borderId="3" xfId="3" applyNumberFormat="1" applyFont="1" applyFill="1" applyBorder="1" applyAlignment="1">
      <alignment wrapText="1"/>
    </xf>
    <xf numFmtId="191" fontId="37" fillId="4" borderId="1" xfId="9" applyNumberFormat="1" applyFont="1" applyFill="1" applyBorder="1" applyAlignment="1">
      <alignment horizontal="right"/>
    </xf>
    <xf numFmtId="191" fontId="37" fillId="3" borderId="1" xfId="9" applyNumberFormat="1" applyFont="1" applyFill="1" applyBorder="1" applyAlignment="1">
      <alignment horizontal="right"/>
    </xf>
    <xf numFmtId="41" fontId="0" fillId="3" borderId="1" xfId="9" applyNumberFormat="1" applyFont="1" applyFill="1" applyBorder="1" applyAlignment="1">
      <alignment horizontal="right"/>
    </xf>
    <xf numFmtId="191" fontId="0" fillId="3" borderId="1" xfId="9" applyNumberFormat="1" applyFont="1" applyFill="1" applyBorder="1" applyAlignment="1">
      <alignment horizontal="right"/>
    </xf>
    <xf numFmtId="189" fontId="37" fillId="4" borderId="1" xfId="9" applyNumberFormat="1" applyFont="1" applyFill="1" applyBorder="1" applyAlignment="1">
      <alignment horizontal="right"/>
    </xf>
    <xf numFmtId="189" fontId="37" fillId="3" borderId="1" xfId="9" applyNumberFormat="1" applyFont="1" applyFill="1" applyBorder="1" applyAlignment="1">
      <alignment horizontal="right"/>
    </xf>
    <xf numFmtId="189" fontId="37" fillId="0" borderId="1" xfId="9" applyNumberFormat="1" applyFont="1" applyFill="1" applyBorder="1" applyAlignment="1">
      <alignment horizontal="right"/>
    </xf>
    <xf numFmtId="171" fontId="37" fillId="0" borderId="1" xfId="9" applyNumberFormat="1" applyFont="1" applyFill="1" applyBorder="1" applyAlignment="1">
      <alignment horizontal="right"/>
    </xf>
    <xf numFmtId="0" fontId="12" fillId="0" borderId="0" xfId="0" applyNumberFormat="1" applyFont="1" applyFill="1" applyAlignment="1">
      <alignment horizontal="center" vertical="center" wrapText="1"/>
    </xf>
    <xf numFmtId="191" fontId="37" fillId="4" borderId="1" xfId="9" applyNumberFormat="1" applyFont="1" applyFill="1" applyBorder="1" applyAlignment="1">
      <alignment horizontal="center"/>
    </xf>
    <xf numFmtId="0" fontId="13" fillId="2" borderId="1" xfId="1" applyFont="1" applyFill="1" applyBorder="1" applyAlignment="1">
      <alignment horizontal="center" wrapText="1"/>
    </xf>
    <xf numFmtId="0" fontId="13" fillId="0" borderId="0" xfId="1" applyFont="1" applyFill="1" applyBorder="1" applyAlignment="1">
      <alignment horizontal="center" wrapText="1"/>
    </xf>
    <xf numFmtId="0" fontId="13" fillId="0" borderId="1" xfId="1" applyFont="1" applyFill="1" applyBorder="1" applyAlignment="1">
      <alignment horizontal="center" wrapText="1"/>
    </xf>
    <xf numFmtId="191" fontId="37" fillId="3" borderId="1" xfId="9" applyNumberFormat="1" applyFont="1" applyFill="1" applyBorder="1" applyAlignment="1">
      <alignment horizontal="center"/>
    </xf>
    <xf numFmtId="41" fontId="0" fillId="0" borderId="1" xfId="9" applyNumberFormat="1" applyFont="1" applyFill="1" applyBorder="1" applyAlignment="1">
      <alignment horizontal="center"/>
    </xf>
    <xf numFmtId="191" fontId="0" fillId="0" borderId="1" xfId="9" applyNumberFormat="1" applyFont="1" applyFill="1" applyBorder="1" applyAlignment="1">
      <alignment horizontal="right"/>
    </xf>
    <xf numFmtId="41" fontId="0" fillId="0" borderId="1" xfId="9" applyNumberFormat="1" applyFont="1" applyFill="1" applyBorder="1" applyAlignment="1">
      <alignment horizontal="right"/>
    </xf>
    <xf numFmtId="191" fontId="0" fillId="4" borderId="1" xfId="9" applyNumberFormat="1" applyFont="1" applyFill="1" applyBorder="1" applyAlignment="1">
      <alignment horizontal="right"/>
    </xf>
    <xf numFmtId="189" fontId="37" fillId="4" borderId="1" xfId="9" applyNumberFormat="1" applyFont="1" applyFill="1" applyBorder="1" applyAlignment="1">
      <alignment horizontal="center"/>
    </xf>
    <xf numFmtId="171" fontId="37" fillId="0" borderId="1" xfId="9" applyNumberFormat="1" applyFont="1" applyFill="1" applyBorder="1" applyAlignment="1"/>
    <xf numFmtId="191" fontId="18" fillId="0" borderId="1" xfId="9" applyNumberFormat="1" applyFont="1" applyFill="1" applyBorder="1" applyAlignment="1"/>
    <xf numFmtId="0" fontId="12" fillId="4" borderId="1" xfId="0" applyFont="1" applyFill="1" applyBorder="1" applyAlignment="1">
      <alignment wrapText="1"/>
    </xf>
    <xf numFmtId="191" fontId="12" fillId="0" borderId="1" xfId="0" applyNumberFormat="1" applyFont="1" applyFill="1" applyBorder="1" applyAlignment="1">
      <alignment wrapText="1"/>
    </xf>
    <xf numFmtId="9" fontId="7" fillId="0" borderId="3" xfId="4" applyFont="1" applyFill="1" applyBorder="1" applyAlignment="1"/>
    <xf numFmtId="9" fontId="9" fillId="0" borderId="4" xfId="4" applyFont="1" applyFill="1" applyBorder="1" applyAlignment="1"/>
    <xf numFmtId="0" fontId="10" fillId="0" borderId="0" xfId="0" applyFont="1" applyAlignment="1"/>
    <xf numFmtId="0" fontId="3" fillId="2" borderId="1" xfId="1" applyFont="1" applyFill="1" applyBorder="1" applyAlignment="1">
      <alignment wrapText="1"/>
    </xf>
    <xf numFmtId="0" fontId="3" fillId="0" borderId="0" xfId="1" applyFont="1" applyFill="1" applyBorder="1" applyAlignment="1">
      <alignment wrapText="1"/>
    </xf>
    <xf numFmtId="191" fontId="16" fillId="0" borderId="1" xfId="9" applyNumberFormat="1" applyFont="1" applyFill="1" applyBorder="1" applyAlignment="1"/>
    <xf numFmtId="191" fontId="16" fillId="4" borderId="1" xfId="9" applyNumberFormat="1" applyFont="1" applyFill="1" applyBorder="1" applyAlignment="1"/>
    <xf numFmtId="191" fontId="16" fillId="3" borderId="1" xfId="9" applyNumberFormat="1" applyFont="1" applyFill="1" applyBorder="1" applyAlignment="1"/>
    <xf numFmtId="191" fontId="18" fillId="3" borderId="1" xfId="9" applyNumberFormat="1" applyFont="1" applyFill="1" applyBorder="1" applyAlignment="1"/>
    <xf numFmtId="41" fontId="34" fillId="0" borderId="1" xfId="9" applyNumberFormat="1" applyFont="1" applyFill="1" applyBorder="1" applyAlignment="1"/>
    <xf numFmtId="191" fontId="34" fillId="0" borderId="1" xfId="9" applyNumberFormat="1" applyFont="1" applyFill="1" applyBorder="1" applyAlignment="1"/>
    <xf numFmtId="191" fontId="34" fillId="4" borderId="1" xfId="9" applyNumberFormat="1" applyFont="1" applyFill="1" applyBorder="1" applyAlignment="1"/>
    <xf numFmtId="0" fontId="18" fillId="4" borderId="1" xfId="0" applyFont="1" applyFill="1" applyBorder="1" applyAlignment="1"/>
    <xf numFmtId="189" fontId="16" fillId="0" borderId="1" xfId="9" applyNumberFormat="1" applyFont="1" applyFill="1" applyBorder="1" applyAlignment="1"/>
    <xf numFmtId="189" fontId="16" fillId="3" borderId="1" xfId="9" applyNumberFormat="1" applyFont="1" applyFill="1" applyBorder="1" applyAlignment="1"/>
    <xf numFmtId="189" fontId="16" fillId="4" borderId="1" xfId="9" applyNumberFormat="1" applyFont="1" applyFill="1" applyBorder="1" applyAlignment="1"/>
    <xf numFmtId="0" fontId="0" fillId="0" borderId="0" xfId="0" applyAlignment="1">
      <alignment horizontal="right"/>
    </xf>
    <xf numFmtId="0" fontId="0" fillId="0" borderId="1" xfId="0" applyBorder="1" applyAlignment="1">
      <alignment horizontal="right"/>
    </xf>
    <xf numFmtId="0" fontId="10" fillId="0" borderId="0" xfId="0" applyFont="1" applyAlignment="1">
      <alignment horizontal="right"/>
    </xf>
    <xf numFmtId="0" fontId="3" fillId="2" borderId="1" xfId="1" applyFont="1" applyFill="1" applyBorder="1" applyAlignment="1">
      <alignment horizontal="right" wrapText="1"/>
    </xf>
    <xf numFmtId="0" fontId="3" fillId="0" borderId="0" xfId="1" applyFont="1" applyFill="1" applyBorder="1" applyAlignment="1">
      <alignment horizontal="right" wrapText="1"/>
    </xf>
    <xf numFmtId="189" fontId="16" fillId="4" borderId="1" xfId="9" applyNumberFormat="1" applyFont="1" applyFill="1" applyBorder="1" applyAlignment="1">
      <alignment horizontal="right"/>
    </xf>
    <xf numFmtId="44" fontId="0" fillId="0" borderId="0" xfId="0" applyNumberFormat="1" applyFont="1"/>
    <xf numFmtId="0" fontId="0" fillId="0" borderId="1" xfId="0" applyBorder="1" applyAlignment="1">
      <alignment vertical="center" wrapText="1"/>
    </xf>
    <xf numFmtId="41" fontId="34" fillId="0" borderId="1" xfId="9" applyNumberFormat="1" applyFont="1" applyFill="1" applyBorder="1" applyAlignment="1">
      <alignment vertical="center"/>
    </xf>
    <xf numFmtId="41" fontId="12" fillId="0" borderId="1" xfId="0" applyNumberFormat="1" applyFont="1" applyFill="1" applyBorder="1" applyAlignment="1">
      <alignment wrapText="1"/>
    </xf>
    <xf numFmtId="41" fontId="12" fillId="0" borderId="1" xfId="0" applyNumberFormat="1" applyFont="1" applyFill="1" applyBorder="1" applyAlignment="1">
      <alignment horizontal="right" wrapText="1"/>
    </xf>
    <xf numFmtId="41" fontId="12" fillId="0" borderId="1" xfId="9" applyNumberFormat="1" applyFont="1" applyFill="1" applyBorder="1" applyAlignment="1">
      <alignment horizontal="right" vertical="center"/>
    </xf>
    <xf numFmtId="41" fontId="0" fillId="3" borderId="1" xfId="9" applyNumberFormat="1" applyFont="1" applyFill="1" applyBorder="1" applyAlignment="1">
      <alignment horizontal="right" vertical="center"/>
    </xf>
    <xf numFmtId="191" fontId="12" fillId="0" borderId="1" xfId="9" applyNumberFormat="1" applyFont="1" applyFill="1" applyBorder="1" applyAlignment="1">
      <alignment vertical="center"/>
    </xf>
    <xf numFmtId="175" fontId="16" fillId="0" borderId="1" xfId="0" applyNumberFormat="1" applyFont="1" applyFill="1" applyBorder="1" applyAlignment="1">
      <alignment horizontal="center" vertical="center" wrapText="1"/>
    </xf>
    <xf numFmtId="44" fontId="0" fillId="0" borderId="0" xfId="0" applyNumberFormat="1" applyFont="1" applyAlignment="1">
      <alignment vertical="center"/>
    </xf>
    <xf numFmtId="189" fontId="12" fillId="3" borderId="1" xfId="9" applyNumberFormat="1" applyFont="1" applyFill="1" applyBorder="1" applyAlignment="1">
      <alignment horizontal="right"/>
    </xf>
    <xf numFmtId="189" fontId="12" fillId="0" borderId="1" xfId="9" applyNumberFormat="1" applyFont="1" applyFill="1" applyBorder="1" applyAlignment="1">
      <alignment horizontal="right"/>
    </xf>
    <xf numFmtId="189" fontId="12" fillId="0" borderId="1" xfId="9" applyNumberFormat="1" applyFont="1" applyFill="1" applyBorder="1" applyAlignment="1">
      <alignment horizontal="right" vertical="center"/>
    </xf>
    <xf numFmtId="0" fontId="30" fillId="11" borderId="13" xfId="20" applyNumberFormat="1" applyFont="1" applyFill="1" applyBorder="1" applyAlignment="1" applyProtection="1">
      <alignment horizontal="center" wrapText="1"/>
      <protection locked="0"/>
    </xf>
    <xf numFmtId="1" fontId="2" fillId="3" borderId="16" xfId="21" applyNumberFormat="1" applyFont="1" applyFill="1" applyBorder="1" applyAlignment="1" applyProtection="1">
      <alignment horizontal="center" wrapText="1"/>
      <protection locked="0"/>
    </xf>
    <xf numFmtId="0" fontId="2" fillId="3" borderId="16" xfId="21" applyNumberFormat="1" applyFont="1" applyFill="1" applyBorder="1" applyAlignment="1" applyProtection="1">
      <alignment horizontal="left" wrapText="1"/>
      <protection locked="0"/>
    </xf>
    <xf numFmtId="0" fontId="2" fillId="3" borderId="16" xfId="21" applyNumberFormat="1" applyFont="1" applyFill="1" applyBorder="1" applyAlignment="1" applyProtection="1">
      <alignment horizontal="center" wrapText="1"/>
      <protection locked="0"/>
    </xf>
    <xf numFmtId="0" fontId="2" fillId="3" borderId="16" xfId="21" applyFont="1" applyFill="1" applyBorder="1" applyAlignment="1" applyProtection="1">
      <alignment horizontal="center" wrapText="1"/>
      <protection locked="0"/>
    </xf>
    <xf numFmtId="3" fontId="2" fillId="3" borderId="16" xfId="22" applyNumberFormat="1" applyFont="1" applyFill="1" applyBorder="1" applyAlignment="1" applyProtection="1">
      <alignment horizontal="center"/>
      <protection locked="0"/>
    </xf>
    <xf numFmtId="173" fontId="2" fillId="3" borderId="16" xfId="23" applyNumberFormat="1" applyFont="1" applyFill="1" applyBorder="1" applyAlignment="1" applyProtection="1">
      <alignment horizontal="center"/>
      <protection locked="0"/>
    </xf>
    <xf numFmtId="1" fontId="2" fillId="3" borderId="1" xfId="21" applyNumberFormat="1" applyFont="1" applyFill="1" applyBorder="1" applyAlignment="1" applyProtection="1">
      <alignment horizontal="center" wrapText="1"/>
      <protection locked="0"/>
    </xf>
    <xf numFmtId="0" fontId="2" fillId="3" borderId="1" xfId="21" applyNumberFormat="1" applyFont="1" applyFill="1" applyBorder="1" applyAlignment="1" applyProtection="1">
      <alignment horizontal="left" wrapText="1"/>
      <protection locked="0"/>
    </xf>
    <xf numFmtId="0" fontId="2" fillId="3" borderId="1" xfId="21" applyNumberFormat="1" applyFont="1" applyFill="1" applyBorder="1" applyAlignment="1" applyProtection="1">
      <alignment horizontal="center" wrapText="1"/>
      <protection locked="0"/>
    </xf>
    <xf numFmtId="0" fontId="2" fillId="3" borderId="1" xfId="21" applyFont="1" applyFill="1" applyBorder="1" applyAlignment="1" applyProtection="1">
      <alignment horizontal="center" wrapText="1"/>
      <protection locked="0"/>
    </xf>
    <xf numFmtId="3" fontId="2" fillId="3" borderId="1" xfId="22" applyNumberFormat="1" applyFont="1" applyFill="1" applyBorder="1" applyAlignment="1" applyProtection="1">
      <alignment horizontal="center"/>
      <protection locked="0"/>
    </xf>
    <xf numFmtId="173" fontId="2" fillId="3" borderId="1" xfId="23" applyNumberFormat="1" applyFont="1" applyFill="1" applyBorder="1" applyAlignment="1" applyProtection="1">
      <alignment horizontal="center"/>
      <protection locked="0"/>
    </xf>
    <xf numFmtId="173" fontId="2" fillId="3" borderId="1" xfId="23" applyNumberFormat="1" applyFont="1" applyFill="1" applyBorder="1" applyAlignment="1" applyProtection="1">
      <alignment horizontal="center"/>
    </xf>
    <xf numFmtId="1" fontId="2" fillId="3" borderId="8" xfId="21" applyNumberFormat="1" applyFont="1" applyFill="1" applyBorder="1" applyAlignment="1" applyProtection="1">
      <alignment horizontal="center" wrapText="1"/>
      <protection locked="0"/>
    </xf>
    <xf numFmtId="0" fontId="2" fillId="3" borderId="8" xfId="21" applyNumberFormat="1" applyFont="1" applyFill="1" applyBorder="1" applyAlignment="1" applyProtection="1">
      <alignment horizontal="left" wrapText="1"/>
      <protection locked="0"/>
    </xf>
    <xf numFmtId="0" fontId="2" fillId="3" borderId="8" xfId="21" applyNumberFormat="1" applyFont="1" applyFill="1" applyBorder="1" applyAlignment="1" applyProtection="1">
      <alignment horizontal="center" wrapText="1"/>
      <protection locked="0"/>
    </xf>
    <xf numFmtId="0" fontId="2" fillId="3" borderId="8" xfId="21" applyFont="1" applyFill="1" applyBorder="1" applyAlignment="1" applyProtection="1">
      <alignment horizontal="center" wrapText="1"/>
      <protection locked="0"/>
    </xf>
    <xf numFmtId="3" fontId="2" fillId="3" borderId="8" xfId="22" applyNumberFormat="1" applyFont="1" applyFill="1" applyBorder="1" applyAlignment="1" applyProtection="1">
      <alignment horizontal="center"/>
      <protection locked="0"/>
    </xf>
    <xf numFmtId="173" fontId="2" fillId="3" borderId="8" xfId="23" applyNumberFormat="1" applyFont="1" applyFill="1" applyBorder="1" applyAlignment="1" applyProtection="1">
      <alignment horizontal="center"/>
      <protection locked="0"/>
    </xf>
    <xf numFmtId="1" fontId="2" fillId="3" borderId="13" xfId="21" applyNumberFormat="1" applyFont="1" applyFill="1" applyBorder="1" applyAlignment="1" applyProtection="1">
      <alignment horizontal="center" wrapText="1"/>
      <protection locked="0"/>
    </xf>
    <xf numFmtId="0" fontId="2" fillId="3" borderId="13" xfId="21" applyNumberFormat="1" applyFont="1" applyFill="1" applyBorder="1" applyAlignment="1" applyProtection="1">
      <alignment horizontal="left" wrapText="1"/>
      <protection locked="0"/>
    </xf>
    <xf numFmtId="3" fontId="2" fillId="3" borderId="13" xfId="22" applyNumberFormat="1" applyFont="1" applyFill="1" applyBorder="1" applyAlignment="1" applyProtection="1">
      <alignment horizontal="center"/>
      <protection locked="0"/>
    </xf>
    <xf numFmtId="173" fontId="2" fillId="3" borderId="13" xfId="23" applyNumberFormat="1" applyFont="1" applyFill="1" applyBorder="1" applyAlignment="1" applyProtection="1">
      <alignment horizontal="center"/>
      <protection locked="0"/>
    </xf>
    <xf numFmtId="173" fontId="2" fillId="3" borderId="16" xfId="23" applyNumberFormat="1" applyFont="1" applyFill="1" applyBorder="1" applyAlignment="1" applyProtection="1">
      <alignment horizontal="center"/>
    </xf>
    <xf numFmtId="173" fontId="30" fillId="8" borderId="1" xfId="22" applyNumberFormat="1" applyFont="1" applyFill="1" applyBorder="1" applyAlignment="1" applyProtection="1">
      <alignment horizontal="center" vertical="center"/>
      <protection locked="0"/>
    </xf>
    <xf numFmtId="44" fontId="22" fillId="0" borderId="10" xfId="5" applyFont="1" applyFill="1" applyBorder="1" applyAlignment="1">
      <alignment horizontal="center" vertical="center" wrapText="1"/>
    </xf>
    <xf numFmtId="44" fontId="22" fillId="0" borderId="40" xfId="5" applyFont="1" applyFill="1" applyBorder="1" applyAlignment="1">
      <alignment horizontal="center" vertical="center" wrapText="1"/>
    </xf>
    <xf numFmtId="44" fontId="22" fillId="0" borderId="0" xfId="5" applyFont="1" applyFill="1" applyBorder="1" applyAlignment="1">
      <alignment horizontal="center" vertical="center" wrapText="1"/>
    </xf>
    <xf numFmtId="3" fontId="22" fillId="0" borderId="10" xfId="1" applyNumberFormat="1" applyFont="1" applyFill="1" applyBorder="1" applyAlignment="1">
      <alignment horizontal="center" vertical="center" wrapText="1"/>
    </xf>
    <xf numFmtId="174" fontId="23" fillId="5" borderId="16" xfId="1" applyNumberFormat="1" applyFont="1" applyFill="1" applyBorder="1" applyAlignment="1">
      <alignment horizontal="center"/>
    </xf>
    <xf numFmtId="4" fontId="16" fillId="4" borderId="1" xfId="0" applyNumberFormat="1" applyFont="1" applyFill="1" applyBorder="1" applyAlignment="1">
      <alignment horizontal="center" vertical="center"/>
    </xf>
    <xf numFmtId="174" fontId="23" fillId="5" borderId="16" xfId="1" applyNumberFormat="1" applyFont="1" applyFill="1" applyBorder="1" applyAlignment="1">
      <alignment horizontal="center" vertical="center"/>
    </xf>
    <xf numFmtId="185" fontId="28" fillId="0" borderId="0" xfId="15" applyNumberFormat="1" applyFont="1" applyFill="1"/>
    <xf numFmtId="0" fontId="20" fillId="4" borderId="1" xfId="0" applyFont="1" applyFill="1" applyBorder="1" applyAlignment="1">
      <alignment horizontal="center" vertical="center"/>
    </xf>
    <xf numFmtId="2" fontId="20" fillId="4" borderId="1" xfId="0" applyNumberFormat="1" applyFont="1" applyFill="1" applyBorder="1" applyAlignment="1">
      <alignment horizontal="center" vertical="center"/>
    </xf>
    <xf numFmtId="174" fontId="20" fillId="4" borderId="1" xfId="0" applyNumberFormat="1" applyFont="1" applyFill="1" applyBorder="1" applyAlignment="1">
      <alignment horizontal="center" vertical="center"/>
    </xf>
    <xf numFmtId="2" fontId="15" fillId="4" borderId="1" xfId="0" applyNumberFormat="1" applyFont="1" applyFill="1" applyBorder="1" applyAlignment="1">
      <alignment horizontal="center" vertical="center"/>
    </xf>
    <xf numFmtId="3" fontId="22" fillId="5" borderId="1" xfId="1" applyNumberFormat="1" applyFont="1" applyFill="1" applyBorder="1" applyAlignment="1">
      <alignment horizontal="center" vertical="center"/>
    </xf>
    <xf numFmtId="191" fontId="39" fillId="0" borderId="1" xfId="9" applyNumberFormat="1" applyFont="1" applyFill="1" applyBorder="1" applyAlignment="1"/>
    <xf numFmtId="0" fontId="18" fillId="0" borderId="9" xfId="1" applyFont="1" applyFill="1" applyBorder="1" applyAlignment="1">
      <alignment horizontal="left" wrapText="1"/>
    </xf>
    <xf numFmtId="0" fontId="18" fillId="0" borderId="9" xfId="0" applyFont="1" applyFill="1" applyBorder="1" applyAlignment="1">
      <alignment horizontal="left"/>
    </xf>
    <xf numFmtId="0" fontId="15" fillId="0" borderId="1" xfId="0" applyFont="1" applyFill="1" applyBorder="1" applyAlignment="1">
      <alignment horizontal="center"/>
    </xf>
    <xf numFmtId="0" fontId="18" fillId="0" borderId="1" xfId="1" applyFont="1" applyFill="1" applyBorder="1" applyAlignment="1">
      <alignment horizontal="left" wrapText="1"/>
    </xf>
    <xf numFmtId="0" fontId="18" fillId="0" borderId="11" xfId="1" applyFont="1" applyFill="1" applyBorder="1" applyAlignment="1">
      <alignment horizontal="left" wrapText="1"/>
    </xf>
    <xf numFmtId="0" fontId="18" fillId="0" borderId="12" xfId="1" applyFont="1" applyFill="1" applyBorder="1" applyAlignment="1">
      <alignment horizontal="left" wrapText="1"/>
    </xf>
    <xf numFmtId="0" fontId="18" fillId="0" borderId="48" xfId="1" applyFont="1" applyFill="1" applyBorder="1" applyAlignment="1">
      <alignment horizontal="left" wrapText="1"/>
    </xf>
    <xf numFmtId="0" fontId="18" fillId="0" borderId="49" xfId="1" applyFont="1" applyFill="1" applyBorder="1" applyAlignment="1">
      <alignment horizontal="left" wrapText="1"/>
    </xf>
    <xf numFmtId="0" fontId="18" fillId="0" borderId="10" xfId="1" applyFont="1" applyFill="1" applyBorder="1" applyAlignment="1">
      <alignment horizontal="left" wrapText="1"/>
    </xf>
    <xf numFmtId="0" fontId="18" fillId="0" borderId="14" xfId="1" applyFont="1" applyFill="1" applyBorder="1" applyAlignment="1">
      <alignment horizontal="left" wrapText="1"/>
    </xf>
    <xf numFmtId="0" fontId="18" fillId="0" borderId="15" xfId="1" applyFont="1" applyFill="1" applyBorder="1" applyAlignment="1">
      <alignment horizontal="left" wrapText="1"/>
    </xf>
    <xf numFmtId="0" fontId="23" fillId="0" borderId="44" xfId="1" applyFont="1" applyFill="1" applyBorder="1" applyAlignment="1">
      <alignment horizontal="center"/>
    </xf>
    <xf numFmtId="0" fontId="23" fillId="0" borderId="45" xfId="1" applyFont="1" applyFill="1" applyBorder="1" applyAlignment="1">
      <alignment horizontal="center"/>
    </xf>
    <xf numFmtId="0" fontId="18" fillId="0" borderId="9" xfId="1" applyFont="1" applyFill="1" applyBorder="1" applyAlignment="1">
      <alignment horizontal="left"/>
    </xf>
    <xf numFmtId="0" fontId="18" fillId="0" borderId="10" xfId="1" applyFont="1" applyFill="1" applyBorder="1" applyAlignment="1">
      <alignment horizontal="left"/>
    </xf>
    <xf numFmtId="0" fontId="23" fillId="0" borderId="1" xfId="1" applyFont="1" applyFill="1" applyBorder="1" applyAlignment="1">
      <alignment horizontal="center"/>
    </xf>
    <xf numFmtId="0" fontId="23" fillId="0" borderId="12" xfId="1" applyFont="1" applyFill="1" applyBorder="1" applyAlignment="1">
      <alignment horizontal="center"/>
    </xf>
    <xf numFmtId="0" fontId="18" fillId="0" borderId="1" xfId="0" applyFont="1" applyFill="1" applyBorder="1" applyAlignment="1">
      <alignment horizontal="left"/>
    </xf>
    <xf numFmtId="0" fontId="23" fillId="0" borderId="1" xfId="0" applyFont="1" applyFill="1" applyBorder="1" applyAlignment="1">
      <alignment horizontal="center"/>
    </xf>
    <xf numFmtId="0" fontId="18" fillId="0" borderId="1" xfId="1" applyFont="1" applyFill="1" applyBorder="1" applyAlignment="1">
      <alignment horizontal="left"/>
    </xf>
    <xf numFmtId="0" fontId="20" fillId="0" borderId="18" xfId="0" applyFont="1" applyFill="1" applyBorder="1" applyAlignment="1">
      <alignment horizontal="center"/>
    </xf>
    <xf numFmtId="0" fontId="20" fillId="0" borderId="19" xfId="0" applyFont="1" applyFill="1" applyBorder="1" applyAlignment="1">
      <alignment horizontal="center"/>
    </xf>
    <xf numFmtId="0" fontId="20" fillId="4" borderId="1"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 xfId="0" applyFont="1" applyFill="1" applyBorder="1" applyAlignment="1">
      <alignment horizontal="center"/>
    </xf>
    <xf numFmtId="43" fontId="0" fillId="0" borderId="0" xfId="2" applyFont="1"/>
    <xf numFmtId="0" fontId="37" fillId="0" borderId="0" xfId="0" applyFont="1" applyAlignment="1">
      <alignment vertical="center"/>
    </xf>
    <xf numFmtId="0" fontId="18" fillId="0" borderId="0" xfId="1" applyFont="1"/>
    <xf numFmtId="169" fontId="18" fillId="0" borderId="0" xfId="1" applyNumberFormat="1" applyFont="1"/>
    <xf numFmtId="3" fontId="22" fillId="0" borderId="0" xfId="0" applyNumberFormat="1" applyFont="1"/>
    <xf numFmtId="170" fontId="18" fillId="0" borderId="0" xfId="1" applyNumberFormat="1" applyFont="1"/>
    <xf numFmtId="44" fontId="18" fillId="0" borderId="0" xfId="5" applyFont="1"/>
    <xf numFmtId="43" fontId="0" fillId="0" borderId="0" xfId="0" applyNumberFormat="1" applyFont="1"/>
    <xf numFmtId="182" fontId="18" fillId="0" borderId="1" xfId="0" applyNumberFormat="1" applyFont="1" applyFill="1" applyBorder="1" applyAlignment="1">
      <alignment horizontal="right" vertical="center"/>
    </xf>
    <xf numFmtId="43" fontId="18" fillId="0" borderId="1" xfId="2" applyFont="1" applyFill="1" applyBorder="1" applyAlignment="1">
      <alignment horizontal="right" vertical="center"/>
    </xf>
    <xf numFmtId="4" fontId="18" fillId="0" borderId="1" xfId="0" applyNumberFormat="1" applyFont="1" applyFill="1" applyBorder="1" applyAlignment="1">
      <alignment horizontal="right"/>
    </xf>
    <xf numFmtId="0" fontId="18" fillId="0" borderId="1"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xf>
    <xf numFmtId="0" fontId="0" fillId="0" borderId="0" xfId="0" applyFont="1" applyBorder="1" applyAlignment="1">
      <alignment horizontal="center"/>
    </xf>
    <xf numFmtId="0" fontId="18" fillId="0" borderId="0" xfId="1" quotePrefix="1" applyFont="1"/>
    <xf numFmtId="0" fontId="20" fillId="0" borderId="9" xfId="0" applyFont="1" applyFill="1" applyBorder="1" applyAlignment="1">
      <alignment horizontal="center"/>
    </xf>
    <xf numFmtId="0" fontId="20" fillId="0" borderId="31" xfId="0" applyFont="1" applyFill="1" applyBorder="1" applyAlignment="1">
      <alignment horizontal="center"/>
    </xf>
    <xf numFmtId="0" fontId="20" fillId="0" borderId="26" xfId="0" applyFont="1" applyFill="1" applyBorder="1" applyAlignment="1">
      <alignment horizontal="center"/>
    </xf>
    <xf numFmtId="0" fontId="20" fillId="0" borderId="26" xfId="0" applyFont="1" applyFill="1" applyBorder="1" applyAlignment="1">
      <alignment horizontal="center" vertical="center" wrapText="1"/>
    </xf>
    <xf numFmtId="0" fontId="20" fillId="0" borderId="26" xfId="0" applyFont="1" applyFill="1" applyBorder="1" applyAlignment="1"/>
    <xf numFmtId="2" fontId="20" fillId="0" borderId="27" xfId="0" applyNumberFormat="1" applyFont="1" applyFill="1" applyBorder="1" applyAlignment="1">
      <alignment horizontal="center"/>
    </xf>
    <xf numFmtId="177" fontId="18" fillId="0" borderId="26" xfId="0" applyNumberFormat="1" applyFont="1" applyFill="1" applyBorder="1" applyAlignment="1">
      <alignment horizontal="right" vertical="center" wrapText="1"/>
    </xf>
    <xf numFmtId="175" fontId="18" fillId="0" borderId="26" xfId="0" applyNumberFormat="1" applyFont="1" applyFill="1" applyBorder="1" applyAlignment="1">
      <alignment horizontal="right" vertical="center" wrapText="1"/>
    </xf>
    <xf numFmtId="0" fontId="20" fillId="0" borderId="85" xfId="0" applyFont="1" applyFill="1" applyBorder="1" applyAlignment="1"/>
    <xf numFmtId="168" fontId="18" fillId="0" borderId="36" xfId="0" applyNumberFormat="1" applyFont="1" applyFill="1" applyBorder="1" applyAlignment="1">
      <alignment horizontal="right" vertical="center" wrapText="1"/>
    </xf>
    <xf numFmtId="171" fontId="39" fillId="3" borderId="1" xfId="9" applyNumberFormat="1" applyFont="1" applyFill="1" applyBorder="1" applyAlignment="1">
      <alignment horizontal="right" vertical="center"/>
    </xf>
    <xf numFmtId="190" fontId="0" fillId="0" borderId="0" xfId="0" applyNumberFormat="1" applyFont="1"/>
    <xf numFmtId="2" fontId="18" fillId="0" borderId="30" xfId="0" applyNumberFormat="1" applyFont="1" applyFill="1" applyBorder="1"/>
    <xf numFmtId="44" fontId="18" fillId="0" borderId="1" xfId="5" applyFont="1" applyFill="1" applyBorder="1"/>
    <xf numFmtId="0" fontId="24" fillId="0" borderId="6" xfId="0" applyFont="1" applyFill="1" applyBorder="1" applyAlignment="1">
      <alignment wrapText="1"/>
    </xf>
    <xf numFmtId="0" fontId="24" fillId="0" borderId="1" xfId="0" applyFont="1" applyFill="1" applyBorder="1" applyAlignment="1">
      <alignment wrapText="1"/>
    </xf>
    <xf numFmtId="176" fontId="18" fillId="0" borderId="26" xfId="0" applyNumberFormat="1" applyFont="1" applyFill="1" applyBorder="1"/>
    <xf numFmtId="191" fontId="0" fillId="0" borderId="0" xfId="0" applyNumberFormat="1" applyFont="1" applyAlignment="1">
      <alignment vertical="center"/>
    </xf>
    <xf numFmtId="191" fontId="0" fillId="0" borderId="0" xfId="0" applyNumberFormat="1" applyFont="1"/>
    <xf numFmtId="191" fontId="12" fillId="0" borderId="0" xfId="0" applyNumberFormat="1" applyFont="1"/>
    <xf numFmtId="191" fontId="0" fillId="0" borderId="0" xfId="0" applyNumberFormat="1"/>
    <xf numFmtId="194" fontId="28" fillId="0" borderId="1" xfId="16" applyNumberFormat="1" applyFont="1" applyFill="1" applyBorder="1" applyAlignment="1">
      <alignment horizontal="center" vertical="center" wrapText="1"/>
    </xf>
    <xf numFmtId="0" fontId="43" fillId="0" borderId="0" xfId="0" applyFont="1"/>
    <xf numFmtId="0" fontId="45" fillId="8" borderId="66" xfId="1" applyFont="1" applyFill="1" applyBorder="1" applyAlignment="1">
      <alignment horizontal="center" vertical="center" wrapText="1"/>
    </xf>
    <xf numFmtId="0" fontId="45" fillId="8" borderId="16" xfId="1" applyFont="1" applyFill="1" applyBorder="1" applyAlignment="1">
      <alignment horizontal="center" vertical="center" wrapText="1"/>
    </xf>
    <xf numFmtId="0" fontId="45" fillId="8" borderId="63" xfId="1" applyFont="1" applyFill="1" applyBorder="1" applyAlignment="1">
      <alignment horizontal="center" vertical="center" wrapText="1"/>
    </xf>
    <xf numFmtId="0" fontId="44" fillId="8" borderId="1" xfId="0" applyNumberFormat="1" applyFont="1" applyFill="1" applyBorder="1" applyAlignment="1">
      <alignment vertical="top" wrapText="1"/>
    </xf>
    <xf numFmtId="0" fontId="45" fillId="8" borderId="1" xfId="1" applyFont="1" applyFill="1" applyBorder="1" applyAlignment="1">
      <alignment horizontal="center" vertical="center" wrapText="1"/>
    </xf>
    <xf numFmtId="0" fontId="45" fillId="8" borderId="1" xfId="1" applyFont="1" applyFill="1" applyBorder="1" applyAlignment="1">
      <alignment horizontal="right" vertical="center" wrapText="1"/>
    </xf>
    <xf numFmtId="0" fontId="45" fillId="8" borderId="1" xfId="1" applyFont="1" applyFill="1" applyBorder="1" applyAlignment="1">
      <alignment vertical="center" wrapText="1"/>
    </xf>
    <xf numFmtId="1" fontId="45" fillId="8" borderId="63" xfId="0" applyNumberFormat="1" applyFont="1" applyFill="1" applyBorder="1" applyAlignment="1">
      <alignment horizontal="center" vertical="top"/>
    </xf>
    <xf numFmtId="2" fontId="45" fillId="8" borderId="1" xfId="0" applyNumberFormat="1" applyFont="1" applyFill="1" applyBorder="1" applyAlignment="1">
      <alignment horizontal="left" vertical="top"/>
    </xf>
    <xf numFmtId="2" fontId="45" fillId="8" borderId="1" xfId="0" applyNumberFormat="1" applyFont="1" applyFill="1" applyBorder="1" applyAlignment="1">
      <alignment horizontal="left" vertical="center"/>
    </xf>
    <xf numFmtId="3" fontId="46" fillId="8" borderId="1" xfId="0" applyNumberFormat="1" applyFont="1" applyFill="1" applyBorder="1" applyAlignment="1">
      <alignment horizontal="right" vertical="center" wrapText="1"/>
    </xf>
    <xf numFmtId="164" fontId="46" fillId="8" borderId="1" xfId="0" applyNumberFormat="1" applyFont="1" applyFill="1" applyBorder="1" applyAlignment="1">
      <alignment vertical="center" wrapText="1"/>
    </xf>
    <xf numFmtId="174" fontId="46" fillId="0" borderId="63" xfId="0" applyNumberFormat="1" applyFont="1" applyFill="1" applyBorder="1" applyAlignment="1">
      <alignment horizontal="center" vertical="center"/>
    </xf>
    <xf numFmtId="2" fontId="46" fillId="0" borderId="1" xfId="0" applyNumberFormat="1" applyFont="1" applyFill="1" applyBorder="1" applyAlignment="1">
      <alignment horizontal="justify" vertical="center" wrapText="1"/>
    </xf>
    <xf numFmtId="0" fontId="46" fillId="0" borderId="1" xfId="0" applyFont="1" applyFill="1" applyBorder="1" applyAlignment="1">
      <alignment horizontal="center" vertical="center" wrapText="1"/>
    </xf>
    <xf numFmtId="4" fontId="46" fillId="0" borderId="1" xfId="0" applyNumberFormat="1" applyFont="1" applyFill="1" applyBorder="1" applyAlignment="1">
      <alignment horizontal="center" vertical="center" wrapText="1"/>
    </xf>
    <xf numFmtId="44" fontId="46" fillId="0" borderId="1" xfId="0" applyNumberFormat="1" applyFont="1" applyFill="1" applyBorder="1" applyAlignment="1">
      <alignment vertical="center" wrapText="1"/>
    </xf>
    <xf numFmtId="3" fontId="43" fillId="0" borderId="0" xfId="0" applyNumberFormat="1" applyFont="1"/>
    <xf numFmtId="167" fontId="43" fillId="0" borderId="0" xfId="5" applyNumberFormat="1" applyFont="1"/>
    <xf numFmtId="174" fontId="46" fillId="0" borderId="63" xfId="0" applyNumberFormat="1" applyFont="1" applyFill="1" applyBorder="1" applyAlignment="1">
      <alignment horizontal="center" vertical="top"/>
    </xf>
    <xf numFmtId="2" fontId="46" fillId="0" borderId="1" xfId="0" applyNumberFormat="1" applyFont="1" applyFill="1" applyBorder="1" applyAlignment="1">
      <alignment horizontal="left" vertical="top"/>
    </xf>
    <xf numFmtId="0" fontId="47" fillId="8" borderId="63" xfId="0" applyFont="1" applyFill="1" applyBorder="1" applyAlignment="1">
      <alignment horizontal="center" vertical="center"/>
    </xf>
    <xf numFmtId="0" fontId="45" fillId="8" borderId="1" xfId="0" applyNumberFormat="1" applyFont="1" applyFill="1" applyBorder="1" applyAlignment="1">
      <alignment vertical="top" wrapText="1"/>
    </xf>
    <xf numFmtId="0" fontId="46" fillId="8" borderId="1" xfId="0" applyFont="1" applyFill="1" applyBorder="1" applyAlignment="1">
      <alignment horizontal="center" vertical="center" wrapText="1"/>
    </xf>
    <xf numFmtId="4" fontId="46" fillId="8" borderId="1" xfId="0" applyNumberFormat="1" applyFont="1" applyFill="1" applyBorder="1" applyAlignment="1">
      <alignment horizontal="center" vertical="center" wrapText="1"/>
    </xf>
    <xf numFmtId="44" fontId="46" fillId="8" borderId="1" xfId="0" applyNumberFormat="1" applyFont="1" applyFill="1" applyBorder="1" applyAlignment="1">
      <alignment vertical="center" wrapText="1"/>
    </xf>
    <xf numFmtId="0" fontId="48" fillId="0" borderId="63" xfId="0" applyFont="1" applyFill="1" applyBorder="1" applyAlignment="1">
      <alignment horizontal="center" vertical="center"/>
    </xf>
    <xf numFmtId="2" fontId="46" fillId="0" borderId="1" xfId="0" applyNumberFormat="1" applyFont="1" applyFill="1" applyBorder="1" applyAlignment="1">
      <alignment horizontal="left" vertical="center" wrapText="1"/>
    </xf>
    <xf numFmtId="3" fontId="44" fillId="0" borderId="0" xfId="0" applyNumberFormat="1" applyFont="1"/>
    <xf numFmtId="2" fontId="46" fillId="0" borderId="1" xfId="0" applyNumberFormat="1" applyFont="1" applyFill="1" applyBorder="1" applyAlignment="1">
      <alignment horizontal="left" vertical="top" wrapText="1"/>
    </xf>
    <xf numFmtId="1" fontId="45" fillId="8" borderId="63" xfId="0" applyNumberFormat="1" applyFont="1" applyFill="1" applyBorder="1" applyAlignment="1">
      <alignment horizontal="center" vertical="center"/>
    </xf>
    <xf numFmtId="174" fontId="45" fillId="8" borderId="1" xfId="0" applyNumberFormat="1" applyFont="1" applyFill="1" applyBorder="1" applyAlignment="1">
      <alignment horizontal="justify" vertical="center" wrapText="1"/>
    </xf>
    <xf numFmtId="0" fontId="46" fillId="0" borderId="1" xfId="0" applyNumberFormat="1" applyFont="1" applyFill="1" applyBorder="1" applyAlignment="1">
      <alignment vertical="top" wrapText="1"/>
    </xf>
    <xf numFmtId="2" fontId="46" fillId="0" borderId="63" xfId="0" applyNumberFormat="1" applyFont="1" applyFill="1" applyBorder="1" applyAlignment="1">
      <alignment horizontal="center" vertical="center"/>
    </xf>
    <xf numFmtId="0" fontId="45" fillId="8" borderId="1" xfId="0" applyNumberFormat="1" applyFont="1" applyFill="1" applyBorder="1" applyAlignment="1">
      <alignment vertical="center" wrapText="1"/>
    </xf>
    <xf numFmtId="4" fontId="46" fillId="3" borderId="1" xfId="0" applyNumberFormat="1" applyFont="1" applyFill="1" applyBorder="1" applyAlignment="1">
      <alignment horizontal="center" vertical="center" wrapText="1"/>
    </xf>
    <xf numFmtId="2" fontId="46" fillId="0" borderId="63" xfId="0" applyNumberFormat="1" applyFont="1" applyFill="1" applyBorder="1" applyAlignment="1">
      <alignment horizontal="center" vertical="top"/>
    </xf>
    <xf numFmtId="0" fontId="49" fillId="0" borderId="0" xfId="0" applyFont="1"/>
    <xf numFmtId="2" fontId="45" fillId="8" borderId="1" xfId="0" applyNumberFormat="1" applyFont="1" applyFill="1" applyBorder="1" applyAlignment="1">
      <alignment horizontal="justify" vertical="center" wrapText="1"/>
    </xf>
    <xf numFmtId="174" fontId="47" fillId="3" borderId="63" xfId="0" applyNumberFormat="1" applyFont="1" applyFill="1" applyBorder="1" applyAlignment="1">
      <alignment horizontal="center" vertical="center"/>
    </xf>
    <xf numFmtId="0" fontId="46" fillId="3" borderId="1" xfId="0" applyFont="1" applyFill="1" applyBorder="1" applyAlignment="1">
      <alignment horizontal="center" vertical="center" wrapText="1"/>
    </xf>
    <xf numFmtId="2" fontId="46" fillId="0" borderId="8" xfId="0" applyNumberFormat="1" applyFont="1" applyFill="1" applyBorder="1" applyAlignment="1">
      <alignment horizontal="justify" vertical="center" wrapText="1"/>
    </xf>
    <xf numFmtId="2" fontId="46" fillId="0" borderId="16" xfId="0" applyNumberFormat="1" applyFont="1" applyFill="1" applyBorder="1" applyAlignment="1">
      <alignment horizontal="justify" vertical="center" wrapText="1"/>
    </xf>
    <xf numFmtId="0" fontId="46" fillId="3" borderId="13" xfId="18" applyFont="1" applyFill="1" applyBorder="1" applyAlignment="1">
      <alignment horizontal="justify" vertical="center" wrapText="1"/>
    </xf>
    <xf numFmtId="0" fontId="46" fillId="3" borderId="16" xfId="18" applyFont="1" applyFill="1" applyBorder="1" applyAlignment="1">
      <alignment horizontal="justify" vertical="center" wrapText="1"/>
    </xf>
    <xf numFmtId="2" fontId="46" fillId="0" borderId="13" xfId="0" applyNumberFormat="1" applyFont="1" applyFill="1" applyBorder="1" applyAlignment="1">
      <alignment horizontal="justify" vertical="center" wrapText="1"/>
    </xf>
    <xf numFmtId="0" fontId="47" fillId="8" borderId="1" xfId="0" applyFont="1" applyFill="1" applyBorder="1" applyAlignment="1">
      <alignment vertical="center" wrapText="1"/>
    </xf>
    <xf numFmtId="0" fontId="46" fillId="8" borderId="1" xfId="0" applyFont="1" applyFill="1" applyBorder="1" applyAlignment="1">
      <alignment horizontal="center" vertical="center"/>
    </xf>
    <xf numFmtId="1" fontId="46" fillId="4" borderId="63" xfId="0" applyNumberFormat="1" applyFont="1" applyFill="1" applyBorder="1" applyAlignment="1">
      <alignment horizontal="center" vertical="top"/>
    </xf>
    <xf numFmtId="2" fontId="45" fillId="4" borderId="1" xfId="0" applyNumberFormat="1" applyFont="1" applyFill="1" applyBorder="1" applyAlignment="1">
      <alignment horizontal="left" vertical="top"/>
    </xf>
    <xf numFmtId="0" fontId="46" fillId="4" borderId="1" xfId="0" applyFont="1" applyFill="1" applyBorder="1" applyAlignment="1">
      <alignment horizontal="center" vertical="center" wrapText="1"/>
    </xf>
    <xf numFmtId="4" fontId="46" fillId="4" borderId="1" xfId="0" applyNumberFormat="1" applyFont="1" applyFill="1" applyBorder="1" applyAlignment="1">
      <alignment horizontal="center" vertical="center" wrapText="1"/>
    </xf>
    <xf numFmtId="44" fontId="46" fillId="4" borderId="1" xfId="0" applyNumberFormat="1" applyFont="1" applyFill="1" applyBorder="1" applyAlignment="1">
      <alignment vertical="center" wrapText="1"/>
    </xf>
    <xf numFmtId="4" fontId="49" fillId="0" borderId="1" xfId="0" applyNumberFormat="1" applyFont="1" applyFill="1" applyBorder="1" applyAlignment="1">
      <alignment horizontal="center" vertical="center" wrapText="1"/>
    </xf>
    <xf numFmtId="0" fontId="46" fillId="8" borderId="63" xfId="0" applyFont="1" applyFill="1" applyBorder="1" applyAlignment="1"/>
    <xf numFmtId="44" fontId="43" fillId="0" borderId="0" xfId="0" applyNumberFormat="1" applyFont="1"/>
    <xf numFmtId="3" fontId="49" fillId="0" borderId="0" xfId="0" applyNumberFormat="1" applyFont="1"/>
    <xf numFmtId="0" fontId="43" fillId="0" borderId="0" xfId="0" applyFont="1" applyAlignment="1"/>
    <xf numFmtId="0" fontId="43" fillId="0" borderId="0" xfId="0" applyFont="1" applyAlignment="1">
      <alignment vertical="center"/>
    </xf>
    <xf numFmtId="0" fontId="43" fillId="0" borderId="0" xfId="0" applyFont="1" applyAlignment="1">
      <alignment horizontal="right" vertical="center"/>
    </xf>
    <xf numFmtId="2" fontId="43" fillId="0" borderId="0" xfId="0" applyNumberFormat="1" applyFont="1" applyAlignment="1"/>
    <xf numFmtId="2" fontId="43" fillId="0" borderId="0" xfId="0" applyNumberFormat="1" applyFont="1" applyAlignment="1">
      <alignment vertical="center"/>
    </xf>
    <xf numFmtId="164" fontId="43" fillId="0" borderId="0" xfId="0" applyNumberFormat="1" applyFont="1" applyAlignment="1">
      <alignment vertical="center"/>
    </xf>
    <xf numFmtId="3" fontId="43" fillId="0" borderId="0" xfId="0" applyNumberFormat="1" applyFont="1" applyAlignment="1">
      <alignment vertical="center"/>
    </xf>
    <xf numFmtId="3" fontId="43" fillId="0" borderId="0" xfId="0" applyNumberFormat="1" applyFont="1" applyAlignment="1">
      <alignment horizontal="right" vertical="center"/>
    </xf>
    <xf numFmtId="3" fontId="43" fillId="0" borderId="0" xfId="0" applyNumberFormat="1" applyFont="1" applyAlignment="1">
      <alignment vertical="center" wrapText="1"/>
    </xf>
    <xf numFmtId="0" fontId="46" fillId="0" borderId="0" xfId="0" applyFont="1" applyAlignment="1">
      <alignment vertical="center"/>
    </xf>
    <xf numFmtId="0" fontId="46" fillId="0" borderId="0" xfId="0" applyFont="1" applyAlignment="1">
      <alignment horizontal="right" vertical="center"/>
    </xf>
    <xf numFmtId="3" fontId="46" fillId="0" borderId="0" xfId="5" applyNumberFormat="1" applyFont="1" applyAlignment="1">
      <alignment vertical="center"/>
    </xf>
    <xf numFmtId="9" fontId="46" fillId="0" borderId="0" xfId="0" applyNumberFormat="1" applyFont="1" applyAlignment="1">
      <alignment vertical="center"/>
    </xf>
    <xf numFmtId="3" fontId="45" fillId="0" borderId="0" xfId="5" applyNumberFormat="1" applyFont="1" applyAlignment="1">
      <alignment vertical="center"/>
    </xf>
    <xf numFmtId="3" fontId="46" fillId="0" borderId="0" xfId="0" applyNumberFormat="1" applyFont="1" applyAlignment="1">
      <alignment vertical="center"/>
    </xf>
    <xf numFmtId="0" fontId="46" fillId="0" borderId="0" xfId="0" applyNumberFormat="1" applyFont="1" applyAlignment="1">
      <alignment vertical="center"/>
    </xf>
    <xf numFmtId="9" fontId="46" fillId="0" borderId="0" xfId="0" applyNumberFormat="1" applyFont="1" applyAlignment="1">
      <alignment horizontal="right" vertical="center"/>
    </xf>
    <xf numFmtId="1" fontId="43" fillId="0" borderId="0" xfId="0" applyNumberFormat="1" applyFont="1" applyAlignment="1">
      <alignment vertical="center"/>
    </xf>
    <xf numFmtId="165" fontId="43" fillId="0" borderId="0" xfId="5" applyNumberFormat="1" applyFont="1" applyAlignment="1">
      <alignment vertical="center"/>
    </xf>
    <xf numFmtId="0" fontId="44" fillId="0" borderId="0" xfId="0" applyFont="1" applyAlignment="1">
      <alignment vertical="center"/>
    </xf>
    <xf numFmtId="4" fontId="43" fillId="0" borderId="0" xfId="0" applyNumberFormat="1" applyFont="1" applyAlignment="1">
      <alignment horizontal="right" vertical="center" wrapText="1"/>
    </xf>
    <xf numFmtId="44" fontId="43" fillId="0" borderId="0" xfId="5" applyFont="1" applyAlignment="1">
      <alignment vertical="center"/>
    </xf>
    <xf numFmtId="44" fontId="43" fillId="0" borderId="0" xfId="0" applyNumberFormat="1" applyFont="1" applyAlignment="1">
      <alignment vertical="center"/>
    </xf>
    <xf numFmtId="167" fontId="43" fillId="0" borderId="0" xfId="5" applyNumberFormat="1" applyFont="1" applyAlignment="1">
      <alignment vertical="center"/>
    </xf>
    <xf numFmtId="167" fontId="43" fillId="0" borderId="0" xfId="0" applyNumberFormat="1" applyFont="1" applyAlignment="1">
      <alignment vertical="center"/>
    </xf>
    <xf numFmtId="2" fontId="46" fillId="0" borderId="1" xfId="0" applyNumberFormat="1" applyFont="1" applyFill="1" applyBorder="1" applyAlignment="1">
      <alignment horizontal="left" vertical="center"/>
    </xf>
    <xf numFmtId="0" fontId="46" fillId="0" borderId="1" xfId="0" applyNumberFormat="1" applyFont="1" applyFill="1" applyBorder="1" applyAlignment="1">
      <alignment vertical="center" wrapText="1"/>
    </xf>
    <xf numFmtId="0" fontId="45" fillId="8" borderId="14" xfId="1" applyFont="1" applyFill="1" applyBorder="1" applyAlignment="1">
      <alignment horizontal="center" vertical="center" wrapText="1"/>
    </xf>
    <xf numFmtId="0" fontId="45" fillId="8" borderId="6" xfId="1" applyFont="1" applyFill="1" applyBorder="1" applyAlignment="1">
      <alignment vertical="center" wrapText="1"/>
    </xf>
    <xf numFmtId="3" fontId="46" fillId="8" borderId="6" xfId="0" applyNumberFormat="1" applyFont="1" applyFill="1" applyBorder="1" applyAlignment="1">
      <alignment vertical="center" wrapText="1"/>
    </xf>
    <xf numFmtId="44" fontId="46" fillId="0" borderId="6" xfId="0" applyNumberFormat="1" applyFont="1" applyFill="1" applyBorder="1" applyAlignment="1">
      <alignment vertical="center" wrapText="1"/>
    </xf>
    <xf numFmtId="44" fontId="46" fillId="8" borderId="6" xfId="0" applyNumberFormat="1" applyFont="1" applyFill="1" applyBorder="1" applyAlignment="1">
      <alignment vertical="center" wrapText="1"/>
    </xf>
    <xf numFmtId="0" fontId="44" fillId="13" borderId="63" xfId="0" applyFont="1" applyFill="1" applyBorder="1" applyAlignment="1">
      <alignment horizontal="center" vertical="center" wrapText="1"/>
    </xf>
    <xf numFmtId="0" fontId="44" fillId="13" borderId="1" xfId="0" applyFont="1" applyFill="1" applyBorder="1" applyAlignment="1">
      <alignment horizontal="center" vertical="center" wrapText="1"/>
    </xf>
    <xf numFmtId="174" fontId="47" fillId="3" borderId="60" xfId="0" applyNumberFormat="1" applyFont="1" applyFill="1" applyBorder="1" applyAlignment="1">
      <alignment horizontal="center" vertical="center"/>
    </xf>
    <xf numFmtId="174" fontId="47" fillId="3" borderId="86" xfId="0" applyNumberFormat="1" applyFont="1" applyFill="1" applyBorder="1" applyAlignment="1">
      <alignment horizontal="center" vertical="center"/>
    </xf>
    <xf numFmtId="174" fontId="47" fillId="3" borderId="66" xfId="0" applyNumberFormat="1" applyFont="1" applyFill="1" applyBorder="1" applyAlignment="1">
      <alignment horizontal="center" vertical="center"/>
    </xf>
    <xf numFmtId="0" fontId="46" fillId="3" borderId="8"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46" fillId="3" borderId="16" xfId="0" applyFont="1" applyFill="1" applyBorder="1" applyAlignment="1">
      <alignment horizontal="center" vertical="center" wrapText="1"/>
    </xf>
    <xf numFmtId="4" fontId="46" fillId="0" borderId="8" xfId="0" applyNumberFormat="1" applyFont="1" applyFill="1" applyBorder="1" applyAlignment="1">
      <alignment horizontal="center" vertical="center" wrapText="1"/>
    </xf>
    <xf numFmtId="4" fontId="46" fillId="0" borderId="13" xfId="0" applyNumberFormat="1" applyFont="1" applyFill="1" applyBorder="1" applyAlignment="1">
      <alignment horizontal="center" vertical="center" wrapText="1"/>
    </xf>
    <xf numFmtId="4" fontId="46" fillId="0" borderId="16" xfId="0" applyNumberFormat="1" applyFont="1" applyFill="1" applyBorder="1" applyAlignment="1">
      <alignment horizontal="center" vertical="center" wrapText="1"/>
    </xf>
    <xf numFmtId="0" fontId="43" fillId="0" borderId="0" xfId="0" applyFont="1" applyBorder="1" applyAlignment="1">
      <alignment horizontal="center"/>
    </xf>
    <xf numFmtId="44" fontId="43" fillId="0" borderId="0" xfId="5" applyFont="1" applyAlignment="1">
      <alignment horizontal="center" vertical="center"/>
    </xf>
    <xf numFmtId="0" fontId="44" fillId="13" borderId="64" xfId="0" applyFont="1" applyFill="1" applyBorder="1" applyAlignment="1">
      <alignment horizontal="right"/>
    </xf>
    <xf numFmtId="0" fontId="44" fillId="13" borderId="7" xfId="0" applyFont="1" applyFill="1" applyBorder="1" applyAlignment="1">
      <alignment horizontal="right"/>
    </xf>
    <xf numFmtId="0" fontId="44" fillId="13" borderId="5" xfId="0" applyFont="1" applyFill="1" applyBorder="1" applyAlignment="1">
      <alignment horizontal="right"/>
    </xf>
    <xf numFmtId="0" fontId="44" fillId="3" borderId="64" xfId="0" applyFont="1" applyFill="1" applyBorder="1" applyAlignment="1">
      <alignment horizontal="right"/>
    </xf>
    <xf numFmtId="0" fontId="44" fillId="3" borderId="7" xfId="0" applyFont="1" applyFill="1" applyBorder="1" applyAlignment="1">
      <alignment horizontal="right"/>
    </xf>
    <xf numFmtId="0" fontId="44" fillId="3" borderId="5" xfId="0" applyFont="1" applyFill="1" applyBorder="1" applyAlignment="1">
      <alignment horizontal="right"/>
    </xf>
    <xf numFmtId="9" fontId="45" fillId="0" borderId="67" xfId="4" applyFont="1" applyFill="1" applyBorder="1" applyAlignment="1">
      <alignment horizontal="center"/>
    </xf>
    <xf numFmtId="9" fontId="45" fillId="0" borderId="76" xfId="4" applyFont="1" applyFill="1" applyBorder="1" applyAlignment="1">
      <alignment horizontal="center"/>
    </xf>
    <xf numFmtId="0" fontId="44" fillId="3" borderId="87" xfId="0" applyFont="1" applyFill="1" applyBorder="1" applyAlignment="1">
      <alignment horizontal="center"/>
    </xf>
    <xf numFmtId="0" fontId="44" fillId="3" borderId="37" xfId="0" applyFont="1" applyFill="1" applyBorder="1" applyAlignment="1">
      <alignment horizontal="center"/>
    </xf>
    <xf numFmtId="0" fontId="44" fillId="0" borderId="1" xfId="0" applyFont="1" applyBorder="1" applyAlignment="1">
      <alignment horizontal="center" vertical="center" wrapText="1"/>
    </xf>
    <xf numFmtId="49" fontId="30" fillId="4" borderId="6" xfId="15" applyNumberFormat="1" applyFont="1" applyFill="1" applyBorder="1" applyAlignment="1">
      <alignment horizontal="left"/>
    </xf>
    <xf numFmtId="49" fontId="30" fillId="4" borderId="7" xfId="15" applyNumberFormat="1" applyFont="1" applyFill="1" applyBorder="1" applyAlignment="1">
      <alignment horizontal="left"/>
    </xf>
    <xf numFmtId="49" fontId="30" fillId="4" borderId="5" xfId="15" applyNumberFormat="1" applyFont="1" applyFill="1" applyBorder="1" applyAlignment="1">
      <alignment horizontal="left"/>
    </xf>
    <xf numFmtId="49" fontId="20" fillId="0" borderId="0" xfId="15" applyNumberFormat="1" applyFont="1" applyFill="1" applyAlignment="1">
      <alignment horizontal="center" vertical="center"/>
    </xf>
    <xf numFmtId="49" fontId="29" fillId="0" borderId="34" xfId="15" applyNumberFormat="1" applyFont="1" applyFill="1" applyBorder="1" applyAlignment="1">
      <alignment horizontal="center" vertical="center" wrapText="1"/>
    </xf>
    <xf numFmtId="49" fontId="30" fillId="4" borderId="11" xfId="15" applyNumberFormat="1" applyFont="1" applyFill="1" applyBorder="1" applyAlignment="1">
      <alignment horizontal="center" vertical="center" wrapText="1"/>
    </xf>
    <xf numFmtId="0" fontId="30" fillId="4" borderId="37" xfId="15" applyFont="1" applyFill="1" applyBorder="1" applyAlignment="1">
      <alignment horizontal="center" vertical="center" wrapText="1"/>
    </xf>
    <xf numFmtId="0" fontId="30" fillId="4" borderId="12" xfId="15" applyFont="1" applyFill="1" applyBorder="1" applyAlignment="1">
      <alignment horizontal="center" vertical="center" wrapText="1"/>
    </xf>
    <xf numFmtId="0" fontId="30" fillId="4" borderId="14" xfId="15" applyFont="1" applyFill="1" applyBorder="1" applyAlignment="1">
      <alignment horizontal="center" vertical="center" wrapText="1"/>
    </xf>
    <xf numFmtId="0" fontId="30" fillId="4" borderId="34" xfId="15" applyFont="1" applyFill="1" applyBorder="1" applyAlignment="1">
      <alignment horizontal="center" vertical="center" wrapText="1"/>
    </xf>
    <xf numFmtId="0" fontId="30" fillId="4" borderId="15" xfId="15" applyFont="1" applyFill="1" applyBorder="1" applyAlignment="1">
      <alignment horizontal="center" vertical="center" wrapText="1"/>
    </xf>
    <xf numFmtId="3" fontId="30" fillId="4" borderId="6" xfId="15" applyNumberFormat="1" applyFont="1" applyFill="1" applyBorder="1" applyAlignment="1">
      <alignment horizontal="center" vertical="center"/>
    </xf>
    <xf numFmtId="3" fontId="30" fillId="4" borderId="5" xfId="15" applyNumberFormat="1" applyFont="1" applyFill="1" applyBorder="1" applyAlignment="1">
      <alignment horizontal="center" vertical="center"/>
    </xf>
    <xf numFmtId="49" fontId="20" fillId="0" borderId="0" xfId="15" applyNumberFormat="1" applyFont="1" applyFill="1" applyAlignment="1">
      <alignment horizontal="center" vertical="center" wrapText="1"/>
    </xf>
    <xf numFmtId="0" fontId="18" fillId="0" borderId="9"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9" xfId="1" applyFont="1" applyFill="1" applyBorder="1" applyAlignment="1">
      <alignment horizontal="center" wrapText="1"/>
    </xf>
    <xf numFmtId="0" fontId="18" fillId="0" borderId="10" xfId="1" applyFont="1" applyFill="1" applyBorder="1" applyAlignment="1">
      <alignment horizontal="center" wrapText="1"/>
    </xf>
    <xf numFmtId="0" fontId="18" fillId="0" borderId="9" xfId="1" applyFont="1" applyFill="1" applyBorder="1" applyAlignment="1">
      <alignment horizontal="left" vertical="center" wrapText="1"/>
    </xf>
    <xf numFmtId="0" fontId="18" fillId="0" borderId="42" xfId="1" applyFont="1" applyFill="1" applyBorder="1" applyAlignment="1">
      <alignment horizontal="left" vertical="center" wrapText="1"/>
    </xf>
    <xf numFmtId="0" fontId="15" fillId="0" borderId="1" xfId="0" applyFont="1" applyFill="1" applyBorder="1" applyAlignment="1">
      <alignment horizontal="center"/>
    </xf>
    <xf numFmtId="0" fontId="15" fillId="4" borderId="1" xfId="0" applyFont="1" applyFill="1" applyBorder="1" applyAlignment="1">
      <alignment horizontal="left" vertical="center" wrapText="1"/>
    </xf>
    <xf numFmtId="0" fontId="18" fillId="0" borderId="1" xfId="1" applyFont="1" applyFill="1" applyBorder="1" applyAlignment="1">
      <alignment horizontal="left" wrapText="1"/>
    </xf>
    <xf numFmtId="0" fontId="18" fillId="0" borderId="1" xfId="1" applyFont="1" applyFill="1" applyBorder="1" applyAlignment="1">
      <alignment horizontal="center"/>
    </xf>
    <xf numFmtId="0" fontId="23" fillId="0" borderId="6" xfId="1" applyFont="1" applyFill="1" applyBorder="1" applyAlignment="1">
      <alignment horizontal="center"/>
    </xf>
    <xf numFmtId="0" fontId="23" fillId="0" borderId="7" xfId="1" applyFont="1" applyFill="1" applyBorder="1" applyAlignment="1">
      <alignment horizontal="center"/>
    </xf>
    <xf numFmtId="0" fontId="23" fillId="0" borderId="5" xfId="1" applyFont="1" applyFill="1" applyBorder="1" applyAlignment="1">
      <alignment horizontal="center"/>
    </xf>
    <xf numFmtId="0" fontId="23" fillId="5" borderId="6" xfId="1" applyFont="1" applyFill="1" applyBorder="1" applyAlignment="1">
      <alignment horizontal="left" vertical="center" wrapText="1"/>
    </xf>
    <xf numFmtId="0" fontId="23" fillId="5" borderId="7" xfId="1" applyFont="1" applyFill="1" applyBorder="1" applyAlignment="1">
      <alignment horizontal="left" vertical="center" wrapText="1"/>
    </xf>
    <xf numFmtId="0" fontId="23" fillId="5" borderId="5" xfId="1" applyFont="1" applyFill="1" applyBorder="1" applyAlignment="1">
      <alignment horizontal="left" vertical="center" wrapText="1"/>
    </xf>
    <xf numFmtId="0" fontId="23" fillId="0" borderId="1" xfId="1" applyFont="1" applyFill="1" applyBorder="1" applyAlignment="1">
      <alignment horizontal="center"/>
    </xf>
    <xf numFmtId="0" fontId="18" fillId="0" borderId="1" xfId="1" applyFont="1" applyFill="1" applyBorder="1" applyAlignment="1">
      <alignment horizontal="justify" vertical="justify" wrapText="1"/>
    </xf>
    <xf numFmtId="0" fontId="20" fillId="5" borderId="6" xfId="1" applyFont="1" applyFill="1" applyBorder="1" applyAlignment="1">
      <alignment horizontal="left" vertical="center" wrapText="1"/>
    </xf>
    <xf numFmtId="0" fontId="20" fillId="5" borderId="7" xfId="1" applyFont="1" applyFill="1" applyBorder="1" applyAlignment="1">
      <alignment horizontal="left" vertical="center" wrapText="1"/>
    </xf>
    <xf numFmtId="0" fontId="20" fillId="5" borderId="5" xfId="1" applyFont="1" applyFill="1" applyBorder="1" applyAlignment="1">
      <alignment horizontal="left" vertical="center" wrapText="1"/>
    </xf>
    <xf numFmtId="0" fontId="18" fillId="0" borderId="42" xfId="1" applyFont="1" applyFill="1" applyBorder="1" applyAlignment="1">
      <alignment horizontal="center" wrapText="1"/>
    </xf>
    <xf numFmtId="0" fontId="15" fillId="0" borderId="6" xfId="0" applyFont="1" applyFill="1" applyBorder="1" applyAlignment="1">
      <alignment horizontal="center"/>
    </xf>
    <xf numFmtId="0" fontId="15" fillId="0" borderId="7" xfId="0" applyFont="1" applyFill="1" applyBorder="1" applyAlignment="1">
      <alignment horizontal="center"/>
    </xf>
    <xf numFmtId="0" fontId="15" fillId="0" borderId="5" xfId="0" applyFont="1" applyFill="1" applyBorder="1" applyAlignment="1">
      <alignment horizontal="center"/>
    </xf>
    <xf numFmtId="0" fontId="15" fillId="4" borderId="6"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8" fillId="0" borderId="9" xfId="1" applyFont="1" applyFill="1" applyBorder="1" applyAlignment="1">
      <alignment horizontal="center"/>
    </xf>
    <xf numFmtId="0" fontId="18" fillId="0" borderId="42" xfId="1" applyFont="1" applyFill="1" applyBorder="1" applyAlignment="1">
      <alignment horizontal="center"/>
    </xf>
    <xf numFmtId="0" fontId="18" fillId="0" borderId="9" xfId="0" applyFont="1" applyFill="1" applyBorder="1" applyAlignment="1">
      <alignment horizontal="left" vertical="center" wrapText="1"/>
    </xf>
    <xf numFmtId="0" fontId="18" fillId="0" borderId="10" xfId="0" applyFont="1" applyFill="1" applyBorder="1" applyAlignment="1">
      <alignment horizontal="left" vertical="center" wrapText="1"/>
    </xf>
    <xf numFmtId="2" fontId="20" fillId="4" borderId="6" xfId="0" applyNumberFormat="1"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18" fillId="0" borderId="22" xfId="1" applyFont="1" applyFill="1" applyBorder="1" applyAlignment="1">
      <alignment horizontal="left" wrapText="1"/>
    </xf>
    <xf numFmtId="0" fontId="18" fillId="0" borderId="23" xfId="1" applyFont="1" applyFill="1" applyBorder="1" applyAlignment="1">
      <alignment horizontal="left" wrapText="1"/>
    </xf>
    <xf numFmtId="0" fontId="18" fillId="0" borderId="9" xfId="0" applyFont="1" applyBorder="1" applyAlignment="1">
      <alignment horizontal="left" wrapText="1"/>
    </xf>
    <xf numFmtId="0" fontId="18" fillId="0" borderId="10" xfId="0" applyFont="1" applyBorder="1" applyAlignment="1">
      <alignment horizontal="left" wrapText="1"/>
    </xf>
    <xf numFmtId="0" fontId="20" fillId="0" borderId="1" xfId="0" applyFont="1" applyFill="1" applyBorder="1" applyAlignment="1">
      <alignment horizont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5" xfId="0" applyFont="1" applyFill="1" applyBorder="1" applyAlignment="1">
      <alignment horizontal="center" vertical="center"/>
    </xf>
    <xf numFmtId="2" fontId="20" fillId="4" borderId="6" xfId="0" applyNumberFormat="1"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8" fillId="0" borderId="28" xfId="0" applyFont="1" applyFill="1" applyBorder="1" applyAlignment="1">
      <alignment horizontal="left"/>
    </xf>
    <xf numFmtId="0" fontId="18" fillId="0" borderId="29" xfId="0" applyFont="1" applyFill="1" applyBorder="1" applyAlignment="1">
      <alignment horizontal="left"/>
    </xf>
    <xf numFmtId="0" fontId="20" fillId="0" borderId="18" xfId="0" applyFont="1" applyFill="1" applyBorder="1" applyAlignment="1">
      <alignment horizontal="center"/>
    </xf>
    <xf numFmtId="0" fontId="20" fillId="0" borderId="19"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18" fillId="0" borderId="11" xfId="1" applyFont="1" applyFill="1" applyBorder="1" applyAlignment="1">
      <alignment horizontal="left" wrapText="1"/>
    </xf>
    <xf numFmtId="0" fontId="18" fillId="0" borderId="12" xfId="1" applyFont="1" applyFill="1" applyBorder="1" applyAlignment="1">
      <alignment horizontal="left" wrapText="1"/>
    </xf>
    <xf numFmtId="0" fontId="18" fillId="0" borderId="9" xfId="1" applyFont="1" applyFill="1" applyBorder="1" applyAlignment="1">
      <alignment horizontal="left" wrapText="1"/>
    </xf>
    <xf numFmtId="0" fontId="18" fillId="0" borderId="10" xfId="1" applyFont="1" applyFill="1" applyBorder="1" applyAlignment="1">
      <alignment horizontal="left" wrapText="1"/>
    </xf>
    <xf numFmtId="0" fontId="18" fillId="0" borderId="14" xfId="1" applyFont="1" applyFill="1" applyBorder="1" applyAlignment="1">
      <alignment horizontal="left" wrapText="1"/>
    </xf>
    <xf numFmtId="0" fontId="18" fillId="0" borderId="15" xfId="1" applyFont="1" applyFill="1" applyBorder="1" applyAlignment="1">
      <alignment horizontal="left" wrapText="1"/>
    </xf>
    <xf numFmtId="0" fontId="18" fillId="0" borderId="9" xfId="0" applyFont="1" applyFill="1" applyBorder="1" applyAlignment="1">
      <alignment horizontal="left"/>
    </xf>
    <xf numFmtId="0" fontId="18" fillId="0" borderId="10" xfId="0" applyFont="1" applyFill="1" applyBorder="1" applyAlignment="1">
      <alignment horizontal="left"/>
    </xf>
    <xf numFmtId="0" fontId="20" fillId="3" borderId="1" xfId="0" applyFont="1" applyFill="1" applyBorder="1" applyAlignment="1">
      <alignment horizontal="center"/>
    </xf>
    <xf numFmtId="0" fontId="20" fillId="4" borderId="6" xfId="0" applyFont="1" applyFill="1" applyBorder="1" applyAlignment="1">
      <alignment horizontal="left" vertical="center" wrapText="1"/>
    </xf>
    <xf numFmtId="0" fontId="18" fillId="0" borderId="9" xfId="0" applyFont="1" applyFill="1" applyBorder="1" applyAlignment="1">
      <alignment horizontal="left" wrapText="1"/>
    </xf>
    <xf numFmtId="0" fontId="18" fillId="0" borderId="10" xfId="0" applyFont="1" applyFill="1" applyBorder="1" applyAlignment="1">
      <alignment horizontal="left" wrapText="1"/>
    </xf>
    <xf numFmtId="0" fontId="18" fillId="0" borderId="22" xfId="0" applyFont="1" applyFill="1" applyBorder="1" applyAlignment="1">
      <alignment horizontal="center"/>
    </xf>
    <xf numFmtId="0" fontId="18" fillId="0" borderId="31" xfId="0" applyFont="1" applyFill="1" applyBorder="1" applyAlignment="1">
      <alignment horizontal="center"/>
    </xf>
    <xf numFmtId="0" fontId="13" fillId="0" borderId="6" xfId="0" applyFont="1" applyFill="1" applyBorder="1" applyAlignment="1">
      <alignment horizontal="center"/>
    </xf>
    <xf numFmtId="0" fontId="13" fillId="0" borderId="7" xfId="0" applyFont="1" applyFill="1" applyBorder="1" applyAlignment="1">
      <alignment horizontal="center"/>
    </xf>
    <xf numFmtId="0" fontId="18" fillId="0" borderId="11" xfId="1" applyFont="1" applyFill="1" applyBorder="1" applyAlignment="1">
      <alignment horizontal="center" wrapText="1"/>
    </xf>
    <xf numFmtId="0" fontId="18" fillId="0" borderId="12" xfId="1" applyFont="1" applyFill="1" applyBorder="1" applyAlignment="1">
      <alignment horizontal="center" wrapText="1"/>
    </xf>
    <xf numFmtId="0" fontId="18" fillId="0" borderId="1" xfId="0" applyFont="1" applyFill="1" applyBorder="1" applyAlignment="1">
      <alignment horizontal="left" wrapText="1"/>
    </xf>
    <xf numFmtId="0" fontId="18" fillId="0" borderId="1" xfId="0" applyFont="1" applyFill="1" applyBorder="1" applyAlignment="1">
      <alignment horizontal="left"/>
    </xf>
    <xf numFmtId="0" fontId="20" fillId="5" borderId="6" xfId="1" applyFont="1" applyFill="1" applyBorder="1" applyAlignment="1">
      <alignment horizontal="left" wrapText="1"/>
    </xf>
    <xf numFmtId="0" fontId="20" fillId="5" borderId="7" xfId="1" applyFont="1" applyFill="1" applyBorder="1" applyAlignment="1">
      <alignment horizontal="left" wrapText="1"/>
    </xf>
    <xf numFmtId="0" fontId="20" fillId="5" borderId="5" xfId="1" applyFont="1" applyFill="1" applyBorder="1" applyAlignment="1">
      <alignment horizontal="left" wrapText="1"/>
    </xf>
    <xf numFmtId="0" fontId="24" fillId="0" borderId="1" xfId="0" applyFont="1" applyFill="1" applyBorder="1" applyAlignment="1">
      <alignment horizontal="left" wrapText="1"/>
    </xf>
    <xf numFmtId="0" fontId="18" fillId="0" borderId="6" xfId="0" applyFont="1" applyFill="1" applyBorder="1" applyAlignment="1">
      <alignment horizontal="center"/>
    </xf>
    <xf numFmtId="0" fontId="18" fillId="0" borderId="7" xfId="0" applyFont="1" applyFill="1" applyBorder="1" applyAlignment="1">
      <alignment horizontal="center"/>
    </xf>
    <xf numFmtId="0" fontId="18" fillId="0" borderId="5" xfId="0" applyFont="1" applyFill="1" applyBorder="1" applyAlignment="1">
      <alignment horizontal="center"/>
    </xf>
    <xf numFmtId="0" fontId="18" fillId="0" borderId="0" xfId="1" applyFont="1" applyFill="1" applyBorder="1" applyAlignment="1">
      <alignment horizontal="left" wrapText="1"/>
    </xf>
    <xf numFmtId="0" fontId="20" fillId="4" borderId="1" xfId="0" applyFont="1" applyFill="1" applyBorder="1" applyAlignment="1">
      <alignment horizontal="center"/>
    </xf>
    <xf numFmtId="0" fontId="20" fillId="3" borderId="6"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18" fillId="0" borderId="39" xfId="1" applyFont="1" applyFill="1" applyBorder="1" applyAlignment="1">
      <alignment horizontal="center" wrapText="1"/>
    </xf>
    <xf numFmtId="0" fontId="18" fillId="0" borderId="11" xfId="0" applyFont="1" applyFill="1" applyBorder="1" applyAlignment="1">
      <alignment horizontal="center"/>
    </xf>
    <xf numFmtId="0" fontId="18" fillId="0" borderId="37" xfId="0" applyFont="1" applyFill="1" applyBorder="1" applyAlignment="1">
      <alignment horizontal="center"/>
    </xf>
    <xf numFmtId="0" fontId="18" fillId="0" borderId="6" xfId="1" applyFont="1" applyFill="1" applyBorder="1" applyAlignment="1">
      <alignment horizontal="center"/>
    </xf>
    <xf numFmtId="0" fontId="18" fillId="0" borderId="7" xfId="1" applyFont="1" applyFill="1" applyBorder="1" applyAlignment="1">
      <alignment horizontal="center"/>
    </xf>
    <xf numFmtId="0" fontId="18" fillId="0" borderId="42" xfId="1" applyFont="1" applyFill="1" applyBorder="1" applyAlignment="1">
      <alignment horizontal="left" wrapText="1"/>
    </xf>
    <xf numFmtId="0" fontId="22" fillId="5" borderId="6" xfId="1" applyFont="1" applyFill="1" applyBorder="1" applyAlignment="1">
      <alignment horizontal="left" vertical="center" wrapText="1"/>
    </xf>
    <xf numFmtId="0" fontId="22" fillId="5" borderId="7" xfId="1" applyFont="1" applyFill="1" applyBorder="1" applyAlignment="1">
      <alignment horizontal="left" vertical="center" wrapText="1"/>
    </xf>
    <xf numFmtId="0" fontId="22" fillId="5" borderId="5" xfId="1" applyFont="1" applyFill="1" applyBorder="1" applyAlignment="1">
      <alignment horizontal="left" vertical="center" wrapText="1"/>
    </xf>
    <xf numFmtId="0" fontId="18" fillId="0" borderId="42" xfId="1" applyFont="1" applyFill="1" applyBorder="1" applyAlignment="1">
      <alignment horizontal="left" vertical="top" wrapText="1"/>
    </xf>
    <xf numFmtId="0" fontId="18" fillId="0" borderId="1" xfId="1" applyFont="1" applyFill="1" applyBorder="1" applyAlignment="1">
      <alignment horizontal="center" wrapText="1"/>
    </xf>
    <xf numFmtId="0" fontId="23" fillId="0" borderId="1" xfId="0" applyFont="1" applyFill="1" applyBorder="1" applyAlignment="1">
      <alignment horizontal="center"/>
    </xf>
    <xf numFmtId="0" fontId="23" fillId="0" borderId="44" xfId="1" applyFont="1" applyFill="1" applyBorder="1" applyAlignment="1">
      <alignment horizontal="center"/>
    </xf>
    <xf numFmtId="0" fontId="23" fillId="0" borderId="45" xfId="1" applyFont="1" applyFill="1" applyBorder="1" applyAlignment="1">
      <alignment horizontal="center"/>
    </xf>
    <xf numFmtId="0" fontId="18" fillId="0" borderId="9" xfId="1" applyFont="1" applyFill="1" applyBorder="1" applyAlignment="1">
      <alignment horizontal="left"/>
    </xf>
    <xf numFmtId="0" fontId="18" fillId="0" borderId="10" xfId="1" applyFont="1" applyFill="1" applyBorder="1" applyAlignment="1">
      <alignment horizontal="left"/>
    </xf>
    <xf numFmtId="0" fontId="18" fillId="0" borderId="1" xfId="1" applyFont="1" applyFill="1" applyBorder="1" applyAlignment="1">
      <alignment horizontal="left"/>
    </xf>
    <xf numFmtId="0" fontId="15" fillId="3" borderId="1" xfId="0" applyFont="1" applyFill="1" applyBorder="1" applyAlignment="1">
      <alignment horizontal="center"/>
    </xf>
    <xf numFmtId="0" fontId="18" fillId="0" borderId="1" xfId="0" applyFont="1" applyFill="1" applyBorder="1" applyAlignment="1">
      <alignment horizontal="left" vertical="center" wrapText="1"/>
    </xf>
    <xf numFmtId="0" fontId="23" fillId="0" borderId="6" xfId="0" applyFont="1" applyFill="1" applyBorder="1" applyAlignment="1">
      <alignment horizontal="center"/>
    </xf>
    <xf numFmtId="0" fontId="23" fillId="0" borderId="7" xfId="0" applyFont="1" applyFill="1" applyBorder="1" applyAlignment="1">
      <alignment horizontal="center"/>
    </xf>
    <xf numFmtId="0" fontId="23" fillId="0" borderId="5" xfId="0" applyFont="1" applyFill="1" applyBorder="1" applyAlignment="1">
      <alignment horizontal="center"/>
    </xf>
    <xf numFmtId="0" fontId="23" fillId="0" borderId="11" xfId="1" applyFont="1" applyFill="1" applyBorder="1" applyAlignment="1">
      <alignment horizontal="center"/>
    </xf>
    <xf numFmtId="0" fontId="23" fillId="0" borderId="12" xfId="1" applyFont="1" applyFill="1" applyBorder="1" applyAlignment="1">
      <alignment horizontal="center"/>
    </xf>
    <xf numFmtId="0" fontId="18" fillId="0" borderId="48" xfId="1" applyFont="1" applyFill="1" applyBorder="1" applyAlignment="1">
      <alignment horizontal="left" wrapText="1"/>
    </xf>
    <xf numFmtId="0" fontId="18" fillId="0" borderId="49" xfId="1" applyFont="1" applyFill="1" applyBorder="1" applyAlignment="1">
      <alignment horizontal="left" wrapText="1"/>
    </xf>
    <xf numFmtId="0" fontId="0" fillId="0" borderId="11" xfId="0" applyFont="1" applyBorder="1" applyAlignment="1">
      <alignment horizontal="center"/>
    </xf>
    <xf numFmtId="0" fontId="0" fillId="0" borderId="37" xfId="0" applyFont="1" applyBorder="1" applyAlignment="1">
      <alignment horizontal="center"/>
    </xf>
    <xf numFmtId="0" fontId="0" fillId="0" borderId="12" xfId="0" applyFont="1" applyBorder="1" applyAlignment="1">
      <alignment horizontal="center"/>
    </xf>
    <xf numFmtId="0" fontId="18" fillId="0" borderId="1" xfId="0" applyFont="1" applyBorder="1" applyAlignment="1">
      <alignment horizontal="left"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5" fillId="0" borderId="11" xfId="0" applyFont="1" applyFill="1" applyBorder="1" applyAlignment="1">
      <alignment horizontal="center"/>
    </xf>
    <xf numFmtId="0" fontId="15" fillId="0" borderId="12" xfId="0" applyFont="1" applyFill="1" applyBorder="1" applyAlignment="1">
      <alignment horizontal="center"/>
    </xf>
    <xf numFmtId="0" fontId="15" fillId="0" borderId="18" xfId="0" applyFont="1" applyFill="1" applyBorder="1" applyAlignment="1">
      <alignment horizontal="center"/>
    </xf>
    <xf numFmtId="0" fontId="15" fillId="0" borderId="19" xfId="0" applyFont="1" applyFill="1" applyBorder="1" applyAlignment="1">
      <alignment horizontal="center"/>
    </xf>
    <xf numFmtId="0" fontId="22" fillId="0" borderId="44" xfId="1" applyFont="1" applyFill="1" applyBorder="1" applyAlignment="1">
      <alignment horizontal="left"/>
    </xf>
    <xf numFmtId="0" fontId="22" fillId="0" borderId="84" xfId="1" applyFont="1" applyFill="1" applyBorder="1" applyAlignment="1">
      <alignment horizontal="left"/>
    </xf>
    <xf numFmtId="0" fontId="18" fillId="0" borderId="22" xfId="0" applyFont="1" applyFill="1" applyBorder="1" applyAlignment="1">
      <alignment horizontal="left"/>
    </xf>
    <xf numFmtId="0" fontId="18" fillId="0" borderId="31" xfId="0" applyFont="1" applyFill="1" applyBorder="1" applyAlignment="1">
      <alignment horizontal="left"/>
    </xf>
    <xf numFmtId="0" fontId="23" fillId="0" borderId="44" xfId="0" applyFont="1" applyFill="1" applyBorder="1" applyAlignment="1">
      <alignment horizontal="center"/>
    </xf>
    <xf numFmtId="0" fontId="23" fillId="0" borderId="45" xfId="0" applyFont="1" applyFill="1" applyBorder="1" applyAlignment="1">
      <alignment horizontal="center"/>
    </xf>
    <xf numFmtId="0" fontId="23" fillId="5" borderId="11" xfId="0" applyFont="1" applyFill="1" applyBorder="1" applyAlignment="1">
      <alignment horizontal="left" vertical="center" wrapText="1"/>
    </xf>
    <xf numFmtId="0" fontId="23" fillId="5" borderId="37" xfId="0" applyFont="1" applyFill="1" applyBorder="1" applyAlignment="1">
      <alignment horizontal="left" vertical="center" wrapText="1"/>
    </xf>
    <xf numFmtId="0" fontId="23" fillId="5" borderId="12" xfId="0" applyFont="1" applyFill="1" applyBorder="1" applyAlignment="1">
      <alignment horizontal="left" vertical="center" wrapText="1"/>
    </xf>
    <xf numFmtId="0" fontId="23" fillId="0" borderId="6" xfId="0" applyFont="1" applyFill="1" applyBorder="1" applyAlignment="1">
      <alignment horizontal="left"/>
    </xf>
    <xf numFmtId="0" fontId="23" fillId="0" borderId="5" xfId="0" applyFont="1" applyFill="1" applyBorder="1" applyAlignment="1">
      <alignment horizontal="left"/>
    </xf>
    <xf numFmtId="0" fontId="18" fillId="0" borderId="5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1" applyFont="1" applyFill="1" applyBorder="1" applyAlignment="1">
      <alignment horizontal="center" wrapText="1"/>
    </xf>
    <xf numFmtId="0" fontId="19" fillId="9" borderId="74"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9" fillId="9" borderId="81" xfId="0" applyFont="1" applyFill="1" applyBorder="1" applyAlignment="1">
      <alignment horizontal="center" vertical="center" textRotation="90"/>
    </xf>
    <xf numFmtId="0" fontId="19" fillId="9" borderId="16" xfId="0" applyFont="1" applyFill="1" applyBorder="1" applyAlignment="1">
      <alignment horizontal="center" vertical="center" textRotation="90"/>
    </xf>
    <xf numFmtId="0" fontId="19" fillId="9" borderId="81" xfId="0" applyFont="1" applyFill="1" applyBorder="1" applyAlignment="1">
      <alignment horizontal="center" vertical="center"/>
    </xf>
    <xf numFmtId="0" fontId="19" fillId="9" borderId="16" xfId="0" applyFont="1" applyFill="1" applyBorder="1" applyAlignment="1">
      <alignment horizontal="center" vertical="center"/>
    </xf>
    <xf numFmtId="0" fontId="15" fillId="0" borderId="0" xfId="0" applyFont="1" applyAlignment="1">
      <alignment horizontal="center" vertical="center" wrapText="1"/>
    </xf>
    <xf numFmtId="0" fontId="36" fillId="0" borderId="0" xfId="0" applyFont="1" applyAlignment="1">
      <alignment horizontal="left"/>
    </xf>
    <xf numFmtId="0" fontId="19" fillId="9" borderId="71" xfId="0" applyFont="1" applyFill="1" applyBorder="1" applyAlignment="1">
      <alignment horizontal="center" vertical="center" wrapText="1"/>
    </xf>
    <xf numFmtId="0" fontId="19" fillId="9" borderId="73" xfId="0" applyFont="1" applyFill="1" applyBorder="1" applyAlignment="1">
      <alignment horizontal="center" vertical="center" wrapText="1"/>
    </xf>
    <xf numFmtId="174" fontId="17" fillId="0" borderId="63" xfId="0" applyNumberFormat="1" applyFont="1" applyFill="1" applyBorder="1" applyAlignment="1">
      <alignment horizontal="center" vertical="center"/>
    </xf>
    <xf numFmtId="174" fontId="17" fillId="0" borderId="1" xfId="0" applyNumberFormat="1" applyFont="1" applyFill="1"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7"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68" xfId="0" applyBorder="1" applyAlignment="1">
      <alignment horizontal="center" vertical="center" wrapText="1"/>
    </xf>
    <xf numFmtId="0" fontId="33" fillId="0" borderId="0" xfId="0" applyFont="1" applyFill="1" applyAlignment="1">
      <alignment horizontal="center" vertical="center" wrapText="1"/>
    </xf>
    <xf numFmtId="0" fontId="36" fillId="0" borderId="0" xfId="0" applyFont="1" applyAlignment="1">
      <alignment horizontal="center"/>
    </xf>
    <xf numFmtId="0" fontId="19" fillId="9" borderId="72" xfId="0" applyFont="1" applyFill="1" applyBorder="1" applyAlignment="1">
      <alignment horizontal="center" vertical="center" wrapText="1"/>
    </xf>
    <xf numFmtId="0" fontId="41" fillId="7" borderId="79" xfId="20" applyFont="1" applyFill="1" applyBorder="1" applyAlignment="1" applyProtection="1">
      <alignment horizontal="center" vertical="center" wrapText="1"/>
      <protection locked="0"/>
    </xf>
    <xf numFmtId="0" fontId="41" fillId="7" borderId="80" xfId="20" applyFont="1" applyFill="1" applyBorder="1" applyAlignment="1" applyProtection="1">
      <alignment horizontal="center" vertical="center" wrapText="1"/>
      <protection locked="0"/>
    </xf>
    <xf numFmtId="0" fontId="41" fillId="7" borderId="83" xfId="20" applyFont="1" applyFill="1" applyBorder="1" applyAlignment="1" applyProtection="1">
      <alignment horizontal="center" vertical="center" wrapText="1"/>
      <protection locked="0"/>
    </xf>
    <xf numFmtId="0" fontId="30" fillId="12" borderId="79" xfId="20" applyNumberFormat="1" applyFont="1" applyFill="1" applyBorder="1" applyAlignment="1" applyProtection="1">
      <alignment horizontal="center" vertical="center" wrapText="1"/>
      <protection locked="0"/>
    </xf>
    <xf numFmtId="0" fontId="30" fillId="12" borderId="80" xfId="20" applyNumberFormat="1" applyFont="1" applyFill="1" applyBorder="1" applyAlignment="1" applyProtection="1">
      <alignment horizontal="center" vertical="center" wrapText="1"/>
      <protection locked="0"/>
    </xf>
    <xf numFmtId="0" fontId="30" fillId="12" borderId="83" xfId="20" applyNumberFormat="1" applyFont="1" applyFill="1" applyBorder="1" applyAlignment="1" applyProtection="1">
      <alignment horizontal="center" vertical="center" wrapText="1"/>
      <protection locked="0"/>
    </xf>
    <xf numFmtId="1" fontId="30" fillId="12" borderId="79" xfId="21" applyNumberFormat="1" applyFont="1" applyFill="1" applyBorder="1" applyAlignment="1" applyProtection="1">
      <alignment horizontal="center" wrapText="1"/>
      <protection locked="0"/>
    </xf>
    <xf numFmtId="1" fontId="30" fillId="12" borderId="80" xfId="21" applyNumberFormat="1" applyFont="1" applyFill="1" applyBorder="1" applyAlignment="1" applyProtection="1">
      <alignment horizontal="center" wrapText="1"/>
      <protection locked="0"/>
    </xf>
    <xf numFmtId="1" fontId="30" fillId="12" borderId="83" xfId="21" applyNumberFormat="1" applyFont="1" applyFill="1" applyBorder="1" applyAlignment="1" applyProtection="1">
      <alignment horizontal="center" wrapText="1"/>
      <protection locked="0"/>
    </xf>
    <xf numFmtId="0" fontId="30" fillId="8" borderId="6" xfId="22" applyFont="1" applyFill="1" applyBorder="1" applyAlignment="1" applyProtection="1">
      <alignment horizontal="right" vertical="center"/>
      <protection locked="0"/>
    </xf>
    <xf numFmtId="0" fontId="30" fillId="8" borderId="7" xfId="22" applyFont="1" applyFill="1" applyBorder="1" applyAlignment="1" applyProtection="1">
      <alignment horizontal="right" vertical="center"/>
      <protection locked="0"/>
    </xf>
    <xf numFmtId="0" fontId="30" fillId="8" borderId="5" xfId="22" applyFont="1" applyFill="1" applyBorder="1" applyAlignment="1" applyProtection="1">
      <alignment horizontal="right" vertical="center"/>
      <protection locked="0"/>
    </xf>
    <xf numFmtId="3" fontId="1" fillId="0" borderId="4" xfId="3" applyNumberFormat="1" applyFont="1" applyFill="1" applyBorder="1" applyAlignment="1">
      <alignment horizontal="right" vertical="center" wrapText="1"/>
    </xf>
    <xf numFmtId="3" fontId="1" fillId="0" borderId="3" xfId="3" applyNumberFormat="1" applyFont="1" applyFill="1" applyBorder="1" applyAlignment="1">
      <alignment horizontal="right" vertical="center" wrapText="1"/>
    </xf>
    <xf numFmtId="0" fontId="1" fillId="0" borderId="0" xfId="0" applyFont="1" applyAlignment="1">
      <alignment horizontal="center" vertical="center" wrapText="1"/>
    </xf>
    <xf numFmtId="3" fontId="1" fillId="0" borderId="3" xfId="3" applyNumberFormat="1" applyFont="1" applyFill="1" applyBorder="1" applyAlignment="1">
      <alignment horizontal="right" wrapText="1"/>
    </xf>
    <xf numFmtId="0" fontId="1" fillId="0" borderId="0" xfId="0" applyFont="1" applyAlignment="1">
      <alignment horizontal="center" vertical="top" wrapText="1"/>
    </xf>
    <xf numFmtId="3" fontId="1" fillId="0" borderId="4" xfId="3" applyNumberFormat="1" applyFont="1" applyFill="1" applyBorder="1" applyAlignment="1">
      <alignment horizontal="right" wrapText="1"/>
    </xf>
    <xf numFmtId="3" fontId="13" fillId="0" borderId="3" xfId="3" applyNumberFormat="1" applyFont="1" applyFill="1" applyBorder="1" applyAlignment="1">
      <alignment horizontal="right" wrapText="1"/>
    </xf>
    <xf numFmtId="0" fontId="13" fillId="0" borderId="0" xfId="0" applyFont="1" applyAlignment="1">
      <alignment horizontal="center" vertical="top" wrapText="1"/>
    </xf>
    <xf numFmtId="3" fontId="13" fillId="0" borderId="4" xfId="3" applyNumberFormat="1" applyFont="1" applyFill="1" applyBorder="1" applyAlignment="1">
      <alignment horizontal="right" wrapText="1"/>
    </xf>
    <xf numFmtId="3" fontId="10" fillId="0" borderId="3" xfId="3" applyNumberFormat="1" applyFont="1" applyFill="1" applyBorder="1" applyAlignment="1">
      <alignment horizontal="right" wrapText="1"/>
    </xf>
    <xf numFmtId="0" fontId="10" fillId="0" borderId="0" xfId="0" applyFont="1" applyAlignment="1">
      <alignment horizontal="center" vertical="top" wrapText="1"/>
    </xf>
    <xf numFmtId="3" fontId="10" fillId="0" borderId="4" xfId="3" applyNumberFormat="1" applyFont="1" applyFill="1" applyBorder="1" applyAlignment="1">
      <alignment horizontal="right" wrapText="1"/>
    </xf>
    <xf numFmtId="0" fontId="44" fillId="13" borderId="79" xfId="0" applyFont="1" applyFill="1" applyBorder="1" applyAlignment="1">
      <alignment horizontal="right" vertical="center"/>
    </xf>
    <xf numFmtId="0" fontId="44" fillId="13" borderId="80" xfId="0" applyFont="1" applyFill="1" applyBorder="1" applyAlignment="1">
      <alignment horizontal="right" vertical="center"/>
    </xf>
    <xf numFmtId="0" fontId="44" fillId="13" borderId="83" xfId="0" applyFont="1" applyFill="1" applyBorder="1" applyAlignment="1">
      <alignment horizontal="right" vertical="center"/>
    </xf>
    <xf numFmtId="44" fontId="46" fillId="0" borderId="1" xfId="0" applyNumberFormat="1" applyFont="1" applyFill="1" applyBorder="1" applyAlignment="1" applyProtection="1">
      <alignment vertical="center" wrapText="1"/>
      <protection locked="0"/>
    </xf>
    <xf numFmtId="44" fontId="46" fillId="0" borderId="6" xfId="0" applyNumberFormat="1" applyFont="1" applyFill="1" applyBorder="1" applyAlignment="1" applyProtection="1">
      <alignment vertical="center" wrapText="1"/>
      <protection locked="0"/>
    </xf>
    <xf numFmtId="44" fontId="46" fillId="8" borderId="1" xfId="0" applyNumberFormat="1" applyFont="1" applyFill="1" applyBorder="1" applyAlignment="1" applyProtection="1">
      <alignment vertical="center" wrapText="1"/>
      <protection locked="0"/>
    </xf>
    <xf numFmtId="44" fontId="46" fillId="8" borderId="6" xfId="0" applyNumberFormat="1" applyFont="1" applyFill="1" applyBorder="1" applyAlignment="1" applyProtection="1">
      <alignment vertical="center" wrapText="1"/>
      <protection locked="0"/>
    </xf>
    <xf numFmtId="44" fontId="44" fillId="13" borderId="6" xfId="0" applyNumberFormat="1" applyFont="1" applyFill="1" applyBorder="1" applyAlignment="1" applyProtection="1">
      <alignment vertical="center"/>
      <protection locked="0"/>
    </xf>
    <xf numFmtId="44" fontId="43" fillId="0" borderId="6" xfId="0" applyNumberFormat="1" applyFont="1" applyBorder="1" applyAlignment="1" applyProtection="1">
      <alignment vertical="center"/>
      <protection locked="0"/>
    </xf>
    <xf numFmtId="44" fontId="44" fillId="13" borderId="80" xfId="0" applyNumberFormat="1" applyFont="1" applyFill="1" applyBorder="1" applyAlignment="1" applyProtection="1">
      <alignment vertical="center"/>
      <protection locked="0"/>
    </xf>
    <xf numFmtId="44" fontId="46" fillId="3" borderId="1" xfId="0" applyNumberFormat="1" applyFont="1" applyFill="1" applyBorder="1" applyAlignment="1" applyProtection="1">
      <alignment vertical="center" wrapText="1"/>
      <protection locked="0"/>
    </xf>
    <xf numFmtId="44" fontId="46" fillId="3" borderId="8" xfId="0" applyNumberFormat="1" applyFont="1" applyFill="1" applyBorder="1" applyAlignment="1" applyProtection="1">
      <alignment horizontal="center" vertical="center" wrapText="1"/>
      <protection locked="0"/>
    </xf>
    <xf numFmtId="44" fontId="46" fillId="0" borderId="11" xfId="0" applyNumberFormat="1" applyFont="1" applyFill="1" applyBorder="1" applyAlignment="1" applyProtection="1">
      <alignment horizontal="center" vertical="center" wrapText="1"/>
      <protection locked="0"/>
    </xf>
    <xf numFmtId="44" fontId="46" fillId="3" borderId="16" xfId="0" applyNumberFormat="1" applyFont="1" applyFill="1" applyBorder="1" applyAlignment="1" applyProtection="1">
      <alignment horizontal="center" vertical="center" wrapText="1"/>
      <protection locked="0"/>
    </xf>
    <xf numFmtId="44" fontId="46" fillId="0" borderId="14" xfId="0" applyNumberFormat="1" applyFont="1" applyFill="1" applyBorder="1" applyAlignment="1" applyProtection="1">
      <alignment horizontal="center" vertical="center" wrapText="1"/>
      <protection locked="0"/>
    </xf>
    <xf numFmtId="44" fontId="46" fillId="3" borderId="13" xfId="0" applyNumberFormat="1" applyFont="1" applyFill="1" applyBorder="1" applyAlignment="1" applyProtection="1">
      <alignment horizontal="center" vertical="center" wrapText="1"/>
      <protection locked="0"/>
    </xf>
    <xf numFmtId="44" fontId="46" fillId="0" borderId="9" xfId="0" applyNumberFormat="1" applyFont="1" applyFill="1" applyBorder="1" applyAlignment="1" applyProtection="1">
      <alignment horizontal="center" vertical="center" wrapText="1"/>
      <protection locked="0"/>
    </xf>
    <xf numFmtId="0" fontId="44" fillId="13" borderId="64" xfId="0" applyFont="1" applyFill="1" applyBorder="1" applyAlignment="1">
      <alignment horizontal="right" vertical="center"/>
    </xf>
    <xf numFmtId="0" fontId="44" fillId="13" borderId="7" xfId="0" applyFont="1" applyFill="1" applyBorder="1" applyAlignment="1">
      <alignment horizontal="right" vertical="center"/>
    </xf>
    <xf numFmtId="0" fontId="44" fillId="13" borderId="5" xfId="0" applyFont="1" applyFill="1" applyBorder="1" applyAlignment="1">
      <alignment horizontal="right" vertical="center"/>
    </xf>
    <xf numFmtId="0" fontId="44" fillId="3" borderId="64" xfId="0" applyFont="1" applyFill="1" applyBorder="1" applyAlignment="1">
      <alignment horizontal="right" vertical="center"/>
    </xf>
    <xf numFmtId="0" fontId="44" fillId="3" borderId="7" xfId="0" applyFont="1" applyFill="1" applyBorder="1" applyAlignment="1">
      <alignment horizontal="right" vertical="center"/>
    </xf>
    <xf numFmtId="0" fontId="44" fillId="3" borderId="5" xfId="0" applyFont="1" applyFill="1" applyBorder="1" applyAlignment="1">
      <alignment horizontal="right" vertical="center"/>
    </xf>
  </cellXfs>
  <cellStyles count="24">
    <cellStyle name="Millares" xfId="2" builtinId="3"/>
    <cellStyle name="Millares [0]" xfId="9" builtinId="6"/>
    <cellStyle name="Millares 2" xfId="10"/>
    <cellStyle name="Millares 2 2 2" xfId="14"/>
    <cellStyle name="Millares 2 3" xfId="13"/>
    <cellStyle name="Millares 3" xfId="23"/>
    <cellStyle name="Millares 5" xfId="16"/>
    <cellStyle name="Moneda" xfId="5" builtinId="4"/>
    <cellStyle name="Moneda 2" xfId="7"/>
    <cellStyle name="Moneda 2 2" xfId="8"/>
    <cellStyle name="Normal" xfId="0" builtinId="0"/>
    <cellStyle name="Normal 2 2" xfId="1"/>
    <cellStyle name="Normal 2 3_FLUJO DE INVERSION ORTOSI (Autoguardado)" xfId="19"/>
    <cellStyle name="Normal 4" xfId="15"/>
    <cellStyle name="Normal 40" xfId="3"/>
    <cellStyle name="Normal 7" xfId="18"/>
    <cellStyle name="Normal_Cantidades de Obra-Formulario de preciosEnviado" xfId="22"/>
    <cellStyle name="Normal_Formulario Cantidad obra - mayo20" xfId="20"/>
    <cellStyle name="Normal_REAJUSTES_1 2" xfId="21"/>
    <cellStyle name="Porcentaje" xfId="6" builtinId="5"/>
    <cellStyle name="Porcentaje 2" xfId="12"/>
    <cellStyle name="Porcentaje 3" xfId="4"/>
    <cellStyle name="Porcentual 2" xfId="11"/>
    <cellStyle name="Porcentual 3" xfId="17"/>
  </cellStyles>
  <dxfs count="0"/>
  <tableStyles count="0" defaultTableStyle="TableStyleMedium2" defaultPivotStyle="PivotStyleMedium9"/>
  <colors>
    <mruColors>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790574</xdr:colOff>
      <xdr:row>0</xdr:row>
      <xdr:rowOff>0</xdr:rowOff>
    </xdr:from>
    <xdr:to>
      <xdr:col>7</xdr:col>
      <xdr:colOff>1114425</xdr:colOff>
      <xdr:row>3</xdr:row>
      <xdr:rowOff>104775</xdr:rowOff>
    </xdr:to>
    <xdr:pic>
      <xdr:nvPicPr>
        <xdr:cNvPr id="2" name="Picture 1473"/>
        <xdr:cNvPicPr>
          <a:picLocks noChangeAspect="1" noChangeArrowheads="1"/>
        </xdr:cNvPicPr>
      </xdr:nvPicPr>
      <xdr:blipFill>
        <a:blip xmlns:r="http://schemas.openxmlformats.org/officeDocument/2006/relationships" r:embed="rId1">
          <a:lum bright="-10000" contrast="20000"/>
          <a:extLst>
            <a:ext uri="{28A0092B-C50C-407E-A947-70E740481C1C}">
              <a14:useLocalDpi xmlns:a14="http://schemas.microsoft.com/office/drawing/2010/main" val="0"/>
            </a:ext>
          </a:extLst>
        </a:blip>
        <a:srcRect/>
        <a:stretch>
          <a:fillRect/>
        </a:stretch>
      </xdr:blipFill>
      <xdr:spPr bwMode="auto">
        <a:xfrm>
          <a:off x="5486399" y="0"/>
          <a:ext cx="1171576"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1057275</xdr:colOff>
      <xdr:row>0</xdr:row>
      <xdr:rowOff>47625</xdr:rowOff>
    </xdr:from>
    <xdr:to>
      <xdr:col>6</xdr:col>
      <xdr:colOff>942976</xdr:colOff>
      <xdr:row>2</xdr:row>
      <xdr:rowOff>0</xdr:rowOff>
    </xdr:to>
    <xdr:pic>
      <xdr:nvPicPr>
        <xdr:cNvPr id="2" name="Picture 1473"/>
        <xdr:cNvPicPr>
          <a:picLocks noChangeAspect="1" noChangeArrowheads="1"/>
        </xdr:cNvPicPr>
      </xdr:nvPicPr>
      <xdr:blipFill>
        <a:blip xmlns:r="http://schemas.openxmlformats.org/officeDocument/2006/relationships" r:embed="rId1" cstate="print">
          <a:lum bright="-10000" contrast="20000"/>
          <a:extLst>
            <a:ext uri="{28A0092B-C50C-407E-A947-70E740481C1C}">
              <a14:useLocalDpi xmlns:a14="http://schemas.microsoft.com/office/drawing/2010/main" val="0"/>
            </a:ext>
          </a:extLst>
        </a:blip>
        <a:srcRect/>
        <a:stretch>
          <a:fillRect/>
        </a:stretch>
      </xdr:blipFill>
      <xdr:spPr bwMode="auto">
        <a:xfrm>
          <a:off x="5667375" y="47625"/>
          <a:ext cx="1266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44666</xdr:colOff>
      <xdr:row>0</xdr:row>
      <xdr:rowOff>168274</xdr:rowOff>
    </xdr:from>
    <xdr:to>
      <xdr:col>9</xdr:col>
      <xdr:colOff>282575</xdr:colOff>
      <xdr:row>4</xdr:row>
      <xdr:rowOff>38099</xdr:rowOff>
    </xdr:to>
    <xdr:pic>
      <xdr:nvPicPr>
        <xdr:cNvPr id="2"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5940641" y="168274"/>
          <a:ext cx="218859" cy="1089025"/>
        </a:xfrm>
        <a:prstGeom prst="rect">
          <a:avLst/>
        </a:prstGeom>
        <a:noFill/>
        <a:ln w="9525">
          <a:noFill/>
          <a:miter lim="800000"/>
          <a:headEnd/>
          <a:tailEnd/>
        </a:ln>
      </xdr:spPr>
    </xdr:pic>
    <xdr:clientData/>
  </xdr:twoCellAnchor>
  <xdr:twoCellAnchor>
    <xdr:from>
      <xdr:col>12</xdr:col>
      <xdr:colOff>219075</xdr:colOff>
      <xdr:row>0</xdr:row>
      <xdr:rowOff>180975</xdr:rowOff>
    </xdr:from>
    <xdr:to>
      <xdr:col>36</xdr:col>
      <xdr:colOff>314325</xdr:colOff>
      <xdr:row>4</xdr:row>
      <xdr:rowOff>104775</xdr:rowOff>
    </xdr:to>
    <xdr:pic>
      <xdr:nvPicPr>
        <xdr:cNvPr id="3" name="Imagen 1"/>
        <xdr:cNvPicPr>
          <a:picLocks noChangeAspect="1" noChangeArrowheads="1"/>
        </xdr:cNvPicPr>
      </xdr:nvPicPr>
      <xdr:blipFill>
        <a:blip xmlns:r="http://schemas.openxmlformats.org/officeDocument/2006/relationships" r:embed="rId2"/>
        <a:srcRect/>
        <a:stretch>
          <a:fillRect/>
        </a:stretch>
      </xdr:blipFill>
      <xdr:spPr bwMode="auto">
        <a:xfrm>
          <a:off x="6762750" y="180975"/>
          <a:ext cx="1800225" cy="1143000"/>
        </a:xfrm>
        <a:prstGeom prst="rect">
          <a:avLst/>
        </a:prstGeom>
        <a:noFill/>
        <a:ln w="9525">
          <a:noFill/>
          <a:miter lim="800000"/>
          <a:headEnd/>
          <a:tailEnd/>
        </a:ln>
      </xdr:spPr>
    </xdr:pic>
    <xdr:clientData/>
  </xdr:twoCellAnchor>
  <xdr:twoCellAnchor>
    <xdr:from>
      <xdr:col>10</xdr:col>
      <xdr:colOff>44666</xdr:colOff>
      <xdr:row>0</xdr:row>
      <xdr:rowOff>168274</xdr:rowOff>
    </xdr:from>
    <xdr:to>
      <xdr:col>36</xdr:col>
      <xdr:colOff>282575</xdr:colOff>
      <xdr:row>4</xdr:row>
      <xdr:rowOff>38099</xdr:rowOff>
    </xdr:to>
    <xdr:pic>
      <xdr:nvPicPr>
        <xdr:cNvPr id="4"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11665166" y="168274"/>
          <a:ext cx="3905034" cy="1089025"/>
        </a:xfrm>
        <a:prstGeom prst="rect">
          <a:avLst/>
        </a:prstGeom>
        <a:noFill/>
        <a:ln w="9525">
          <a:noFill/>
          <a:miter lim="800000"/>
          <a:headEnd/>
          <a:tailEnd/>
        </a:ln>
      </xdr:spPr>
    </xdr:pic>
    <xdr:clientData/>
  </xdr:twoCellAnchor>
  <xdr:twoCellAnchor>
    <xdr:from>
      <xdr:col>37</xdr:col>
      <xdr:colOff>202407</xdr:colOff>
      <xdr:row>0</xdr:row>
      <xdr:rowOff>180975</xdr:rowOff>
    </xdr:from>
    <xdr:to>
      <xdr:col>41</xdr:col>
      <xdr:colOff>1</xdr:colOff>
      <xdr:row>3</xdr:row>
      <xdr:rowOff>71437</xdr:rowOff>
    </xdr:to>
    <xdr:pic>
      <xdr:nvPicPr>
        <xdr:cNvPr id="5" name="Imagen 1"/>
        <xdr:cNvPicPr>
          <a:picLocks noChangeAspect="1" noChangeArrowheads="1"/>
        </xdr:cNvPicPr>
      </xdr:nvPicPr>
      <xdr:blipFill>
        <a:blip xmlns:r="http://schemas.openxmlformats.org/officeDocument/2006/relationships" r:embed="rId2"/>
        <a:srcRect/>
        <a:stretch>
          <a:fillRect/>
        </a:stretch>
      </xdr:blipFill>
      <xdr:spPr bwMode="auto">
        <a:xfrm>
          <a:off x="15823407" y="180975"/>
          <a:ext cx="1131094" cy="819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1068917</xdr:colOff>
      <xdr:row>0</xdr:row>
      <xdr:rowOff>35385</xdr:rowOff>
    </xdr:from>
    <xdr:to>
      <xdr:col>4</xdr:col>
      <xdr:colOff>1070102</xdr:colOff>
      <xdr:row>3</xdr:row>
      <xdr:rowOff>185208</xdr:rowOff>
    </xdr:to>
    <xdr:pic>
      <xdr:nvPicPr>
        <xdr:cNvPr id="2" name="Picture 1473"/>
        <xdr:cNvPicPr>
          <a:picLocks noChangeAspect="1" noChangeArrowheads="1"/>
        </xdr:cNvPicPr>
      </xdr:nvPicPr>
      <xdr:blipFill>
        <a:blip xmlns:r="http://schemas.openxmlformats.org/officeDocument/2006/relationships" r:embed="rId1" cstate="print">
          <a:lum bright="-10000" contrast="20000"/>
        </a:blip>
        <a:srcRect/>
        <a:stretch>
          <a:fillRect/>
        </a:stretch>
      </xdr:blipFill>
      <xdr:spPr bwMode="auto">
        <a:xfrm>
          <a:off x="5155142" y="35385"/>
          <a:ext cx="1185" cy="7308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llegas%20Contratacion\PROYECTOS\47-KM%20Turbo\Calculos%2001-06-2016\RAFAEL%2012-08-2016\Presupuesto%20%20Luis%20crregido%2009-08-2016\1%20Presupuesto%20construccion%20de%20redes%20de%20distribuccion%20Tur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villegy\AppData\Local\Microsoft\Windows\Temporary%20Internet%20Files\Content.Outlook\YFFZELQW\CANTIDADES%20Y%20PRECIOS%20POR%20SIT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doc6\Empresas\AdeUrab&#225;\M_TURBO\2014\ALCDO%20AASSA\ANEXOS\Distrito%20Sur\CANTIDADES%20CO_DS%20EBAR%20LA%20YUQUI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uriber\AppData\Local\Microsoft\Windows\Temporary%20Internet%20Files\Content.Outlook\N31VBPOR\Presupuesto%20total%20SAO%20junio%2007%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Total"/>
      <sheetName val="AU-1"/>
      <sheetName val="APU TOTAl"/>
      <sheetName val="Resumen Financiero TOTAL"/>
      <sheetName val="2. Sector 11"/>
      <sheetName val="Presu. Suministro Total"/>
      <sheetName val="2. Presup Sector N°11"/>
      <sheetName val="2. APU 2"/>
      <sheetName val="2. AU-11"/>
      <sheetName val="2. Cant. 11"/>
      <sheetName val="2. Presupuesto Suministro 11"/>
      <sheetName val="2. Resumen Financiero 11"/>
      <sheetName val="2. Cronograma 11"/>
      <sheetName val="3. Sector 14"/>
      <sheetName val="3. Presup Sector 14"/>
      <sheetName val="3. APU 14"/>
      <sheetName val="3. AU-14"/>
      <sheetName val="3. Presuepuesto Suministro 14"/>
      <sheetName val="3. Resumen financiero 14"/>
      <sheetName val="3. Cronograma 14"/>
      <sheetName val="4. Sector 9"/>
      <sheetName val="4. Presup Sector N°9"/>
      <sheetName val="4. APU- 9"/>
      <sheetName val="4. AU-9"/>
      <sheetName val="4. Pres. Suministro-9"/>
      <sheetName val="4. Resumen Financiero-9"/>
      <sheetName val="4. Cronograma-9"/>
      <sheetName val="5. Sector 4"/>
      <sheetName val="5. Presup Sector N°4"/>
      <sheetName val="5. APU-4 "/>
      <sheetName val="5. AU-4 "/>
      <sheetName val="5. Presupuesto Suministro 4"/>
      <sheetName val="5. Resumen Financiero 4"/>
      <sheetName val="5. cronograma 4"/>
      <sheetName val="6. Sector 5"/>
      <sheetName val="6. Presup Sector 5"/>
      <sheetName val="6. APU 5"/>
      <sheetName val="6. AU-5"/>
      <sheetName val="6.Cant. 5"/>
      <sheetName val="6. Presup Suministro 5"/>
      <sheetName val="6. Resumen Financiero-5"/>
      <sheetName val="6. Cronograma 6"/>
      <sheetName val="7. Sector 3"/>
      <sheetName val="7. Presup Sector 3"/>
      <sheetName val="7. APU 3"/>
      <sheetName val="7. AU-3"/>
      <sheetName val="7. Presup. Suministro 3"/>
      <sheetName val="7. Resumen Financiero 3"/>
      <sheetName val="7. Cronograma 3"/>
      <sheetName val="8. Sector 10"/>
      <sheetName val="8. Presup Sector 10"/>
      <sheetName val="8. APU 10"/>
      <sheetName val="8. AU-10"/>
      <sheetName val="8. Presup. Suministro 10"/>
      <sheetName val="8. Resumen Financiero 10"/>
      <sheetName val="8. Cronograma 10"/>
      <sheetName val="9.Sector 13"/>
      <sheetName val="9. Presup. Sector 13"/>
      <sheetName val="9. APU-13"/>
      <sheetName val="9. AU-13"/>
      <sheetName val="9. Presup Suministro 13"/>
      <sheetName val="9. Resumen Financiero 13"/>
      <sheetName val="9. Cronograma 13"/>
      <sheetName val="Equipos"/>
      <sheetName val="Hoja9"/>
      <sheetName val="Hoja8"/>
      <sheetName val="Hoja7"/>
    </sheetNames>
    <sheetDataSet>
      <sheetData sheetId="0">
        <row r="2">
          <cell r="A2" t="str">
            <v>AGUAS REGIONALES  EPM S.A. E.S.P.</v>
          </cell>
          <cell r="B2">
            <v>0</v>
          </cell>
          <cell r="C2">
            <v>0</v>
          </cell>
          <cell r="D2">
            <v>0</v>
          </cell>
          <cell r="E2">
            <v>0</v>
          </cell>
          <cell r="F2">
            <v>0</v>
          </cell>
          <cell r="G2">
            <v>0</v>
          </cell>
        </row>
        <row r="3">
          <cell r="A3" t="str">
            <v>OPTIMIZACIÓN REDES DE ACUEDUCTO, MUNICIPIO DE TURBO, ANTIOQUIA</v>
          </cell>
          <cell r="B3">
            <v>0</v>
          </cell>
          <cell r="C3">
            <v>0</v>
          </cell>
          <cell r="D3">
            <v>0</v>
          </cell>
          <cell r="E3">
            <v>0</v>
          </cell>
          <cell r="F3">
            <v>0</v>
          </cell>
          <cell r="G3">
            <v>0</v>
          </cell>
        </row>
        <row r="100">
          <cell r="B100">
            <v>10.199999999999999</v>
          </cell>
          <cell r="C100" t="str">
            <v>Corte, demolicion, retiro y botada de pavimento rigido.</v>
          </cell>
          <cell r="D100" t="str">
            <v>m3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8">
          <cell r="B8">
            <v>1</v>
          </cell>
          <cell r="C8" t="str">
            <v>DEMOLICIÓN</v>
          </cell>
        </row>
        <row r="10">
          <cell r="D10" t="str">
            <v>m2</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_COSTOS"/>
      <sheetName val="POZO EL COLEGIO"/>
      <sheetName val="ENTRADA POZO EL REPOSO"/>
      <sheetName val="SALIDA PLANTA EL REPOSO"/>
      <sheetName val="BOCATOMA TURBO"/>
      <sheetName val="ENTRADA PLANTA TURBO"/>
      <sheetName val="POZO VILLA MARIA"/>
      <sheetName val="IMPULSION LA LUCILA"/>
      <sheetName val="SALIDA TANQUE LA LUCILA"/>
      <sheetName val="SALIDA TANQUE CASANOVA"/>
      <sheetName val="BOCATOMA APARTADO"/>
      <sheetName val="IMPULSION 1 TANQUE ELEVEVADO"/>
      <sheetName val="IMPULSION 2 TANQUE ELEVEVADO "/>
      <sheetName val="SALIDA BERNARDO"/>
      <sheetName val="SALIDA VELEZ"/>
      <sheetName val="SALIDA CENTRO"/>
      <sheetName val="SALIDA TANQUE 20 DE ENERO"/>
      <sheetName val="SALIDA TANQUE LAURELES"/>
      <sheetName val="PLANTA APARTADO"/>
      <sheetName val="POZO EL MATADERO"/>
      <sheetName val="COSTOS MACROS"/>
      <sheetName val="COSTOS ACTUADORES INSTALADOS"/>
    </sheetNames>
    <sheetDataSet>
      <sheetData sheetId="0">
        <row r="11">
          <cell r="C11">
            <v>2980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D6">
            <v>6508</v>
          </cell>
        </row>
        <row r="7">
          <cell r="D7">
            <v>8979</v>
          </cell>
        </row>
      </sheetData>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ÁLCULOS"/>
      <sheetName val="1. Colector Principal"/>
      <sheetName val="2.Secundarias B_Obrero"/>
      <sheetName val="3.Secundarias B_Brisas del Mar"/>
      <sheetName val="4.Secundarias B_El Bosque"/>
      <sheetName val="5.Domiciliarias Colector La Yuq"/>
      <sheetName val="6.Domiciliarias B_Obrero"/>
      <sheetName val="7.Domiciliarias B_Brisas del Ma"/>
      <sheetName val="8.Domiciliarias B_El Bosque"/>
      <sheetName val="Resumen Cantidades"/>
    </sheetNames>
    <sheetDataSet>
      <sheetData sheetId="0" refreshError="1"/>
      <sheetData sheetId="1" refreshError="1">
        <row r="13">
          <cell r="C13" t="str">
            <v>Excavación manual en material común:</v>
          </cell>
        </row>
        <row r="14">
          <cell r="C14" t="str">
            <v>Seco, entre 0 m y 2 m de profundidad</v>
          </cell>
        </row>
        <row r="15">
          <cell r="C15" t="str">
            <v>Seco, entre 2 m y 4 m de profundidad</v>
          </cell>
        </row>
        <row r="16">
          <cell r="C16" t="str">
            <v>Seco, mayor a 4 m de profundidad</v>
          </cell>
        </row>
        <row r="17">
          <cell r="C17" t="str">
            <v>Húmedo , entre 0 m y 2 m de profundidad</v>
          </cell>
        </row>
        <row r="22">
          <cell r="C22" t="str">
            <v>Entibados en madera</v>
          </cell>
        </row>
        <row r="25">
          <cell r="C25" t="str">
            <v>Lleno y apisonado de zanjas y apiques con</v>
          </cell>
        </row>
        <row r="26">
          <cell r="C26" t="str">
            <v>Material selecto de la excavación</v>
          </cell>
        </row>
        <row r="28">
          <cell r="C28" t="str">
            <v>Cargue, retiro y botada de material sobrante</v>
          </cell>
        </row>
        <row r="29">
          <cell r="C29" t="str">
            <v>Retiro y disposición final de material sobrante a cualquier distancia</v>
          </cell>
        </row>
        <row r="30">
          <cell r="C30" t="str">
            <v>Construcción de Cámara de inspección de concreto de 21 MPa vaciadas en el sitio</v>
          </cell>
        </row>
        <row r="31">
          <cell r="C31" t="str">
            <v>Cilindro de la cámara 1.2m, concéntrica vaciada en situ</v>
          </cell>
        </row>
        <row r="32">
          <cell r="C32" t="str">
            <v>Cilindro de la cámara 1.5m, concéntrica vaciada en situ</v>
          </cell>
        </row>
        <row r="33">
          <cell r="C33" t="str">
            <v xml:space="preserve"> Base y Cañuela pozo de inspección para tuberías entre 8" a 24" (concreto f´c= 28MPa elab. en obra)</v>
          </cell>
        </row>
        <row r="40">
          <cell r="C40" t="str">
            <v>Suministro, transporte y colocación de entresuelo para cimentaciones y apoyo de tubería:</v>
          </cell>
        </row>
        <row r="41">
          <cell r="C41" t="str">
            <v>S.T.I Lleno con triturado 3/4" (19mm) y 1" (25mm)</v>
          </cell>
        </row>
        <row r="42">
          <cell r="C42" t="str">
            <v>S.T.I Lleno con arenilla 3/4" (19mm) y 1" (25mm)</v>
          </cell>
        </row>
        <row r="43">
          <cell r="C43" t="str">
            <v>Corte, rotura y retiro de pavimento:</v>
          </cell>
        </row>
        <row r="44">
          <cell r="C44" t="str">
            <v>Corte, rotura y retiro de pavimento rigido</v>
          </cell>
        </row>
        <row r="45">
          <cell r="C45" t="str">
            <v xml:space="preserve">Corte, rotura y retiro de pavimento flexible </v>
          </cell>
        </row>
        <row r="47">
          <cell r="C47" t="str">
            <v>Pavimento rigido</v>
          </cell>
        </row>
        <row r="48">
          <cell r="C48" t="str">
            <v xml:space="preserve">Pavimento flexible </v>
          </cell>
        </row>
        <row r="51">
          <cell r="C51" t="str">
            <v>Suministro e Intalación de geotextil para la protección del lleno en la zanja</v>
          </cell>
        </row>
        <row r="52">
          <cell r="C52" t="str">
            <v>Geotextil No tejido por cada 100m2</v>
          </cell>
        </row>
        <row r="53">
          <cell r="C53" t="str">
            <v>Pilotes de madera Inmunizada Ø=0.15</v>
          </cell>
        </row>
        <row r="54">
          <cell r="C54" t="str">
            <v>Elaboración y Colocación de Concreto 2500 PSI para anclajes (incluye formaletería y Clavos)</v>
          </cell>
        </row>
        <row r="64">
          <cell r="C64">
            <v>0</v>
          </cell>
        </row>
        <row r="65">
          <cell r="C65" t="str">
            <v>Suministro e Instalaciób  de tubería de PE para Acueducto PE 100 PN 6 RDE 26,(incluye nivelación)  en los siguientes diámetros nominales:</v>
          </cell>
        </row>
        <row r="66">
          <cell r="C66" t="str">
            <v>Tubería PE Øint. 230.8mm</v>
          </cell>
        </row>
        <row r="67">
          <cell r="C67" t="str">
            <v>Tubería PE Øint. 290.8mm</v>
          </cell>
        </row>
        <row r="68">
          <cell r="C68" t="str">
            <v>Tubería PE Øint. 415.6mm</v>
          </cell>
        </row>
      </sheetData>
      <sheetData sheetId="2" refreshError="1">
        <row r="14">
          <cell r="E14">
            <v>1432.1007925152849</v>
          </cell>
        </row>
        <row r="52">
          <cell r="C52" t="str">
            <v>Tubería PE Øint. 184.6mm</v>
          </cell>
        </row>
      </sheetData>
      <sheetData sheetId="3" refreshError="1"/>
      <sheetData sheetId="4" refreshError="1">
        <row r="14">
          <cell r="E14">
            <v>3841.5807850682636</v>
          </cell>
        </row>
        <row r="61">
          <cell r="C61" t="str">
            <v>Tubería PE Øint. 327.8mm</v>
          </cell>
        </row>
      </sheetData>
      <sheetData sheetId="5" refreshError="1">
        <row r="10">
          <cell r="E10">
            <v>3532.7809152791974</v>
          </cell>
        </row>
        <row r="16">
          <cell r="C16" t="str">
            <v>Reparación de andén en concreto</v>
          </cell>
        </row>
        <row r="18">
          <cell r="C18" t="str">
            <v>Reparación de pavimento</v>
          </cell>
        </row>
        <row r="19">
          <cell r="C19" t="str">
            <v>Construcción de pavimento</v>
          </cell>
        </row>
        <row r="20">
          <cell r="C20" t="str">
            <v>Construcción de cajas  0.6x0.6x0.8 m</v>
          </cell>
        </row>
        <row r="21">
          <cell r="C21" t="str">
            <v>De empalme en andén o zona verde, para domiciliarias de alcantarillado.  Incluye acabado de la tapa según andén existente</v>
          </cell>
        </row>
        <row r="35">
          <cell r="C35" t="str">
            <v>Suministro, transporte y colocacion de kit domiciliario en PE, incluye empaque, codo de 45° y espigo, en los siguientes diametros:</v>
          </cell>
        </row>
        <row r="36">
          <cell r="C36" t="str">
            <v>230.8 mm x 147.7 mm</v>
          </cell>
        </row>
        <row r="37">
          <cell r="C37" t="str">
            <v>290.8 mm x 147.7 mm</v>
          </cell>
        </row>
        <row r="38">
          <cell r="C38" t="str">
            <v>415.6 mm x 147.7 mm</v>
          </cell>
        </row>
        <row r="39">
          <cell r="C39" t="str">
            <v>461.8 mm x 147.7 mm</v>
          </cell>
        </row>
      </sheetData>
      <sheetData sheetId="6" refreshError="1">
        <row r="10">
          <cell r="E10">
            <v>3438.9126783359993</v>
          </cell>
        </row>
        <row r="33">
          <cell r="C33" t="str">
            <v>184.6 mm x 147.7 mm</v>
          </cell>
        </row>
      </sheetData>
      <sheetData sheetId="7" refreshError="1"/>
      <sheetData sheetId="8" refreshError="1">
        <row r="10">
          <cell r="E10">
            <v>9471.1574678399993</v>
          </cell>
        </row>
        <row r="37">
          <cell r="C37" t="str">
            <v>327.8 mm x 147.7 mm</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heetName val="Precios Turbo"/>
      <sheetName val="APUS"/>
      <sheetName val="Insumos"/>
    </sheetNames>
    <sheetDataSet>
      <sheetData sheetId="0">
        <row r="3">
          <cell r="A3" t="str">
            <v>Código</v>
          </cell>
          <cell r="B3" t="str">
            <v>Nombre</v>
          </cell>
          <cell r="C3" t="str">
            <v>Und</v>
          </cell>
          <cell r="D3" t="str">
            <v>Cantidad</v>
          </cell>
          <cell r="E3" t="str">
            <v>Precio</v>
          </cell>
          <cell r="F3" t="str">
            <v>Total</v>
          </cell>
        </row>
        <row r="4">
          <cell r="A4" t="str">
            <v>4010000</v>
          </cell>
          <cell r="B4" t="str">
            <v>ACTIVIDADES PRELIMINARES</v>
          </cell>
          <cell r="C4">
            <v>0</v>
          </cell>
          <cell r="D4">
            <v>0</v>
          </cell>
          <cell r="E4">
            <v>0</v>
          </cell>
          <cell r="F4">
            <v>2383945.9512</v>
          </cell>
        </row>
        <row r="5">
          <cell r="A5" t="str">
            <v>4015300</v>
          </cell>
          <cell r="B5" t="str">
            <v>Demolición de cámaras de inspección y tuberías de concreto empotradas</v>
          </cell>
          <cell r="C5">
            <v>0</v>
          </cell>
          <cell r="D5">
            <v>0</v>
          </cell>
          <cell r="E5">
            <v>0</v>
          </cell>
          <cell r="F5">
            <v>2383945.9512</v>
          </cell>
        </row>
        <row r="6">
          <cell r="A6" t="str">
            <v>4015301</v>
          </cell>
          <cell r="B6" t="str">
            <v>Demolición de cámaras de inspección</v>
          </cell>
          <cell r="C6" t="str">
            <v>m</v>
          </cell>
          <cell r="D6">
            <v>29</v>
          </cell>
          <cell r="E6">
            <v>82205.032800000001</v>
          </cell>
          <cell r="F6">
            <v>2383945.9512</v>
          </cell>
        </row>
        <row r="7">
          <cell r="A7" t="str">
            <v>4020000</v>
          </cell>
          <cell r="B7" t="str">
            <v>EXCAVACIONES Y LLENOS ESTRUCTURALES</v>
          </cell>
          <cell r="C7">
            <v>0</v>
          </cell>
          <cell r="D7">
            <v>0</v>
          </cell>
          <cell r="E7">
            <v>0</v>
          </cell>
          <cell r="F7">
            <v>4343447799.3803997</v>
          </cell>
        </row>
        <row r="8">
          <cell r="A8" t="str">
            <v>4021100</v>
          </cell>
          <cell r="B8" t="str">
            <v>EXCAVACIONES EN MATERIAL COMÚN SECO</v>
          </cell>
          <cell r="C8">
            <v>0</v>
          </cell>
          <cell r="D8">
            <v>0</v>
          </cell>
          <cell r="E8">
            <v>0</v>
          </cell>
          <cell r="F8">
            <v>467233477.85697222</v>
          </cell>
        </row>
        <row r="9">
          <cell r="A9" t="str">
            <v>4021103</v>
          </cell>
          <cell r="B9" t="str">
            <v>Excavación material común seco &lt; 2 m</v>
          </cell>
          <cell r="C9" t="str">
            <v>m3</v>
          </cell>
          <cell r="D9">
            <v>26213.817072911606</v>
          </cell>
          <cell r="E9">
            <v>15452.515000000001</v>
          </cell>
          <cell r="F9">
            <v>405069401.52642274</v>
          </cell>
        </row>
        <row r="10">
          <cell r="A10" t="str">
            <v>4021130</v>
          </cell>
          <cell r="B10" t="str">
            <v>Excavación material común seco 2-4 m</v>
          </cell>
          <cell r="C10" t="str">
            <v>m3</v>
          </cell>
          <cell r="D10">
            <v>2075.1705760589521</v>
          </cell>
          <cell r="E10">
            <v>29227.514999999999</v>
          </cell>
          <cell r="F10">
            <v>60652079.139321662</v>
          </cell>
        </row>
        <row r="11">
          <cell r="A11" t="str">
            <v>4021140</v>
          </cell>
          <cell r="B11" t="str">
            <v>Excavación material común seco &gt;4 m</v>
          </cell>
          <cell r="C11" t="str">
            <v>m3</v>
          </cell>
          <cell r="D11">
            <v>45.422351029441401</v>
          </cell>
          <cell r="E11">
            <v>33287.514999999999</v>
          </cell>
          <cell r="F11">
            <v>1511997.191227796</v>
          </cell>
        </row>
        <row r="12">
          <cell r="A12" t="str">
            <v>4021200</v>
          </cell>
          <cell r="B12" t="str">
            <v>EXCAVACIONES EN MATERIAL COMÚN HÚMEDO</v>
          </cell>
          <cell r="C12">
            <v>0</v>
          </cell>
          <cell r="D12">
            <v>0</v>
          </cell>
          <cell r="E12">
            <v>0</v>
          </cell>
          <cell r="F12">
            <v>707511615.46590638</v>
          </cell>
        </row>
        <row r="13">
          <cell r="A13" t="str">
            <v>4021203</v>
          </cell>
          <cell r="B13" t="str">
            <v>Excavación material común húmedo &lt; 2 m</v>
          </cell>
          <cell r="C13" t="str">
            <v>m3</v>
          </cell>
          <cell r="D13">
            <v>21888.370000000003</v>
          </cell>
          <cell r="E13">
            <v>17014.218400000002</v>
          </cell>
          <cell r="F13">
            <v>372413507.60000807</v>
          </cell>
        </row>
        <row r="14">
          <cell r="A14" t="str">
            <v>4021230</v>
          </cell>
          <cell r="B14" t="str">
            <v>Excavación material común húmedo 2-4 m</v>
          </cell>
          <cell r="C14" t="str">
            <v>m3</v>
          </cell>
          <cell r="D14">
            <v>11545.01</v>
          </cell>
          <cell r="E14">
            <v>28260.754400000002</v>
          </cell>
          <cell r="F14">
            <v>326270692.15554404</v>
          </cell>
        </row>
        <row r="15">
          <cell r="A15" t="str">
            <v>4021240</v>
          </cell>
          <cell r="B15" t="str">
            <v>Excavación material común húmedo &gt;4 m</v>
          </cell>
          <cell r="C15" t="str">
            <v>m3</v>
          </cell>
          <cell r="D15">
            <v>251.60999999999999</v>
          </cell>
          <cell r="E15">
            <v>35083.72366104</v>
          </cell>
          <cell r="F15">
            <v>8827415.7103542741</v>
          </cell>
        </row>
        <row r="16">
          <cell r="A16" t="str">
            <v>4022100</v>
          </cell>
          <cell r="B16" t="str">
            <v>ENTIBADOS TEMPORALES</v>
          </cell>
          <cell r="C16">
            <v>0</v>
          </cell>
          <cell r="D16">
            <v>0</v>
          </cell>
          <cell r="E16">
            <v>0</v>
          </cell>
          <cell r="F16">
            <v>56198138.255700007</v>
          </cell>
        </row>
        <row r="17">
          <cell r="A17" t="str">
            <v>4022110</v>
          </cell>
          <cell r="B17" t="str">
            <v>Entibado madera temporal</v>
          </cell>
          <cell r="C17" t="str">
            <v>m2</v>
          </cell>
          <cell r="D17">
            <v>2937.21</v>
          </cell>
          <cell r="E17">
            <v>19133.170000000002</v>
          </cell>
          <cell r="F17">
            <v>56198138.255700007</v>
          </cell>
        </row>
        <row r="18">
          <cell r="A18" t="str">
            <v>4022200</v>
          </cell>
          <cell r="B18" t="str">
            <v>ENTIBADOS PERMANENTES</v>
          </cell>
          <cell r="C18">
            <v>0</v>
          </cell>
          <cell r="D18">
            <v>0</v>
          </cell>
          <cell r="E18">
            <v>0</v>
          </cell>
          <cell r="F18">
            <v>396633451.50200003</v>
          </cell>
        </row>
        <row r="19">
          <cell r="A19" t="str">
            <v>4022210</v>
          </cell>
          <cell r="B19" t="str">
            <v>Entibado madera permanente</v>
          </cell>
          <cell r="C19" t="str">
            <v>m2</v>
          </cell>
          <cell r="D19">
            <v>11748.83</v>
          </cell>
          <cell r="E19">
            <v>33759.4</v>
          </cell>
          <cell r="F19">
            <v>396633451.50200003</v>
          </cell>
        </row>
        <row r="20">
          <cell r="A20" t="str">
            <v>4024100</v>
          </cell>
          <cell r="B20" t="str">
            <v>LLENOS EN ZANJAS Y APIQUES</v>
          </cell>
          <cell r="C20">
            <v>0</v>
          </cell>
          <cell r="D20">
            <v>0</v>
          </cell>
          <cell r="E20">
            <v>0</v>
          </cell>
          <cell r="F20">
            <v>1640814519.0117869</v>
          </cell>
        </row>
        <row r="21">
          <cell r="A21" t="str">
            <v>4024103</v>
          </cell>
          <cell r="B21" t="str">
            <v>Lleno y apisonado zanjas y apiques con material  selecto de la excavación</v>
          </cell>
          <cell r="C21" t="str">
            <v>m3</v>
          </cell>
          <cell r="D21">
            <v>14287.87</v>
          </cell>
          <cell r="E21">
            <v>21284.908000000003</v>
          </cell>
          <cell r="F21">
            <v>304115998.46596009</v>
          </cell>
        </row>
        <row r="22">
          <cell r="A22" t="str">
            <v>4024112</v>
          </cell>
          <cell r="B22" t="str">
            <v>Lleno y apisonado zanjas y apiques con material  de préstamo</v>
          </cell>
          <cell r="C22" t="str">
            <v>m3</v>
          </cell>
          <cell r="D22">
            <v>25826.69</v>
          </cell>
          <cell r="E22">
            <v>51756.478300000002</v>
          </cell>
          <cell r="F22">
            <v>1336698520.5458269</v>
          </cell>
        </row>
        <row r="23">
          <cell r="A23" t="str">
            <v>4025000</v>
          </cell>
          <cell r="B23" t="str">
            <v>Cargue, retiro y botada del material sobrante</v>
          </cell>
          <cell r="C23">
            <v>0</v>
          </cell>
          <cell r="D23">
            <v>0</v>
          </cell>
          <cell r="E23">
            <v>0</v>
          </cell>
          <cell r="F23">
            <v>1075056597.2880335</v>
          </cell>
        </row>
        <row r="24">
          <cell r="A24" t="str">
            <v>4025001</v>
          </cell>
          <cell r="B24" t="str">
            <v>Cargue, retiro y botada de material sobrante a cualquier distancia</v>
          </cell>
          <cell r="C24" t="str">
            <v>m3</v>
          </cell>
          <cell r="D24">
            <v>49383.479999999996</v>
          </cell>
          <cell r="E24">
            <v>21769.55932</v>
          </cell>
          <cell r="F24">
            <v>1075056597.2880335</v>
          </cell>
        </row>
        <row r="25">
          <cell r="A25" t="str">
            <v>4030000</v>
          </cell>
          <cell r="B25" t="str">
            <v>PAVIMENTOS</v>
          </cell>
          <cell r="C25">
            <v>0</v>
          </cell>
          <cell r="D25">
            <v>0</v>
          </cell>
          <cell r="E25">
            <v>0</v>
          </cell>
          <cell r="F25">
            <v>352780068.73769999</v>
          </cell>
        </row>
        <row r="26">
          <cell r="A26" t="str">
            <v>4030100</v>
          </cell>
          <cell r="B26" t="str">
            <v>Corte y retiro de pavimento</v>
          </cell>
          <cell r="C26">
            <v>0</v>
          </cell>
          <cell r="D26">
            <v>0</v>
          </cell>
          <cell r="E26">
            <v>0</v>
          </cell>
          <cell r="F26">
            <v>43110757.225299992</v>
          </cell>
        </row>
        <row r="27">
          <cell r="A27" t="str">
            <v>4030101</v>
          </cell>
          <cell r="B27" t="str">
            <v>Corte, retiro y botada de pavimento asfáltico hasta 10 cm de espesor</v>
          </cell>
          <cell r="C27" t="str">
            <v>m3</v>
          </cell>
          <cell r="D27">
            <v>89.47999999999999</v>
          </cell>
          <cell r="E27">
            <v>95067.65</v>
          </cell>
          <cell r="F27">
            <v>8506653.3219999988</v>
          </cell>
        </row>
        <row r="28">
          <cell r="A28" t="str">
            <v>4030103</v>
          </cell>
          <cell r="B28" t="str">
            <v>Corte y retiro de pavimentos de concreto hasta 20 cm de espesor</v>
          </cell>
          <cell r="C28" t="str">
            <v>m3</v>
          </cell>
          <cell r="D28">
            <v>272.96999999999997</v>
          </cell>
          <cell r="E28">
            <v>126768.88999999998</v>
          </cell>
          <cell r="F28">
            <v>34604103.903299995</v>
          </cell>
        </row>
        <row r="29">
          <cell r="A29" t="str">
            <v>4030700</v>
          </cell>
          <cell r="B29" t="str">
            <v>Concreto asfáltico</v>
          </cell>
          <cell r="C29">
            <v>0</v>
          </cell>
          <cell r="D29">
            <v>0</v>
          </cell>
          <cell r="E29">
            <v>0</v>
          </cell>
          <cell r="F29">
            <v>56218779.421299994</v>
          </cell>
        </row>
        <row r="30">
          <cell r="A30" t="str">
            <v>4030705</v>
          </cell>
          <cell r="B30" t="str">
            <v>Suministro, transporte y colocación  y cilindrada de pavimento asfáltico para zanjas y apiques (incluye riego de liga e imprimante asfáltico) para parcheo</v>
          </cell>
          <cell r="C30" t="str">
            <v>m3</v>
          </cell>
          <cell r="D30">
            <v>67.91</v>
          </cell>
          <cell r="E30">
            <v>827842.42999999993</v>
          </cell>
          <cell r="F30">
            <v>56218779.421299994</v>
          </cell>
        </row>
        <row r="31">
          <cell r="A31" t="str">
            <v>4030800</v>
          </cell>
          <cell r="B31" t="str">
            <v>Pavimentos rígidos</v>
          </cell>
          <cell r="C31">
            <v>0</v>
          </cell>
          <cell r="D31">
            <v>0</v>
          </cell>
          <cell r="E31">
            <v>0</v>
          </cell>
          <cell r="F31">
            <v>253450532.09110001</v>
          </cell>
        </row>
        <row r="32">
          <cell r="A32" t="str">
            <v>4030801</v>
          </cell>
          <cell r="B32" t="str">
            <v>Reconstrucción de Pavimentos en concreto de 28 MPa (hasta espesor .20)</v>
          </cell>
          <cell r="C32" t="str">
            <v>m3</v>
          </cell>
          <cell r="D32">
            <v>421.03000000000003</v>
          </cell>
          <cell r="E32">
            <v>601977.37</v>
          </cell>
          <cell r="F32">
            <v>253450532.09110001</v>
          </cell>
        </row>
        <row r="33">
          <cell r="A33" t="str">
            <v>4040000</v>
          </cell>
          <cell r="B33" t="str">
            <v>OBRAS VARIAS</v>
          </cell>
          <cell r="C33">
            <v>0</v>
          </cell>
          <cell r="D33">
            <v>0</v>
          </cell>
          <cell r="E33">
            <v>0</v>
          </cell>
          <cell r="F33">
            <v>921081828.28934312</v>
          </cell>
        </row>
        <row r="34">
          <cell r="A34" t="str">
            <v>4040300</v>
          </cell>
          <cell r="B34" t="str">
            <v>Andenes</v>
          </cell>
          <cell r="C34">
            <v>0</v>
          </cell>
          <cell r="D34">
            <v>0</v>
          </cell>
          <cell r="E34">
            <v>0</v>
          </cell>
          <cell r="F34">
            <v>24227460.397795197</v>
          </cell>
        </row>
        <row r="35">
          <cell r="A35" t="str">
            <v>4040303</v>
          </cell>
          <cell r="B35" t="str">
            <v>Reconstrucción de andenes en concreto sin escalas</v>
          </cell>
          <cell r="C35" t="str">
            <v>m2</v>
          </cell>
          <cell r="D35">
            <v>386.4</v>
          </cell>
          <cell r="E35">
            <v>62700.466867999996</v>
          </cell>
          <cell r="F35">
            <v>24227460.397795197</v>
          </cell>
        </row>
        <row r="36">
          <cell r="A36" t="str">
            <v>4040400</v>
          </cell>
          <cell r="B36" t="str">
            <v>Entresuelo para apoyo de tubería</v>
          </cell>
          <cell r="C36">
            <v>0</v>
          </cell>
          <cell r="D36">
            <v>0</v>
          </cell>
          <cell r="E36">
            <v>0</v>
          </cell>
          <cell r="F36">
            <v>892857905.13874793</v>
          </cell>
        </row>
        <row r="37">
          <cell r="A37" t="str">
            <v>4040401</v>
          </cell>
          <cell r="B37" t="str">
            <v>Suministro, transporte y colocación entresuelo en arenilla para apoyo tubería</v>
          </cell>
          <cell r="C37" t="str">
            <v>m3</v>
          </cell>
          <cell r="D37">
            <v>3249.6</v>
          </cell>
          <cell r="E37">
            <v>51183.862880000001</v>
          </cell>
          <cell r="F37">
            <v>166327080.81484801</v>
          </cell>
        </row>
        <row r="38">
          <cell r="A38" t="str">
            <v>4040420</v>
          </cell>
          <cell r="B38" t="str">
            <v>Suministro, transporte y colocación de entresuelo en triturado de 3/4"</v>
          </cell>
          <cell r="C38" t="str">
            <v>m3</v>
          </cell>
          <cell r="D38">
            <v>10592.5</v>
          </cell>
          <cell r="E38">
            <v>68589.173879999988</v>
          </cell>
          <cell r="F38">
            <v>726530824.32389987</v>
          </cell>
        </row>
        <row r="39">
          <cell r="A39" t="str">
            <v>4040500</v>
          </cell>
          <cell r="B39" t="str">
            <v>Filtros</v>
          </cell>
          <cell r="C39">
            <v>0</v>
          </cell>
          <cell r="D39">
            <v>0</v>
          </cell>
          <cell r="E39">
            <v>0</v>
          </cell>
          <cell r="F39">
            <v>3996462.7527999999</v>
          </cell>
        </row>
        <row r="40">
          <cell r="A40" t="str">
            <v>4040544</v>
          </cell>
          <cell r="B40" t="str">
            <v>Suministro, transporte y colocación der geotextil no tejido de 2500 gr/m2</v>
          </cell>
          <cell r="C40" t="str">
            <v>m2</v>
          </cell>
          <cell r="D40">
            <v>348.74</v>
          </cell>
          <cell r="E40">
            <v>11459.72</v>
          </cell>
          <cell r="F40">
            <v>3996462.7527999999</v>
          </cell>
        </row>
        <row r="41">
          <cell r="A41" t="str">
            <v>4050000</v>
          </cell>
          <cell r="B41" t="str">
            <v>FABRICACIÓN Y UTILIZACIÓN DE CONCRETOS</v>
          </cell>
          <cell r="C41">
            <v>0</v>
          </cell>
          <cell r="D41">
            <v>0</v>
          </cell>
          <cell r="E41">
            <v>0</v>
          </cell>
          <cell r="F41">
            <v>5980121951.2324009</v>
          </cell>
        </row>
        <row r="42">
          <cell r="A42" t="str">
            <v>4051000</v>
          </cell>
          <cell r="B42" t="str">
            <v>CONCRETOS ENTRE 14 MPa Y 17.5 MPa</v>
          </cell>
          <cell r="C42">
            <v>0</v>
          </cell>
          <cell r="D42">
            <v>0</v>
          </cell>
          <cell r="E42">
            <v>0</v>
          </cell>
          <cell r="F42">
            <v>5919923332.7389011</v>
          </cell>
        </row>
        <row r="43">
          <cell r="A43" t="str">
            <v>4051076</v>
          </cell>
          <cell r="B43" t="str">
            <v>Suministro, transporte y colocación concreto 175 kg/cm2 o 17.5 MPa para piloteo de fundación</v>
          </cell>
          <cell r="C43" t="str">
            <v>m3</v>
          </cell>
          <cell r="D43">
            <v>12920.45</v>
          </cell>
          <cell r="E43">
            <v>458182.44200000004</v>
          </cell>
          <cell r="F43">
            <v>5919923332.7389011</v>
          </cell>
        </row>
        <row r="44">
          <cell r="A44" t="str">
            <v>4051100</v>
          </cell>
          <cell r="B44" t="str">
            <v>CONCRETOS DE 21 MPa</v>
          </cell>
          <cell r="C44">
            <v>0</v>
          </cell>
          <cell r="D44">
            <v>0</v>
          </cell>
          <cell r="E44">
            <v>0</v>
          </cell>
          <cell r="F44">
            <v>60198618.493500002</v>
          </cell>
        </row>
        <row r="45">
          <cell r="A45" t="str">
            <v>4051179</v>
          </cell>
          <cell r="B45" t="str">
            <v>Suministro, transporte y colocación concreto 21MPa anclajes para escalas</v>
          </cell>
          <cell r="C45" t="str">
            <v>m3</v>
          </cell>
          <cell r="D45">
            <v>118.83</v>
          </cell>
          <cell r="E45">
            <v>506594.45</v>
          </cell>
          <cell r="F45">
            <v>60198618.493500002</v>
          </cell>
        </row>
        <row r="46">
          <cell r="A46" t="str">
            <v>4070000</v>
          </cell>
          <cell r="B46" t="str">
            <v>REDES Y ACOMETIDAS DE ALCANTARILLADO</v>
          </cell>
          <cell r="C46">
            <v>0</v>
          </cell>
          <cell r="D46">
            <v>0</v>
          </cell>
          <cell r="E46">
            <v>0</v>
          </cell>
          <cell r="F46">
            <v>6463287956.2739534</v>
          </cell>
        </row>
        <row r="47">
          <cell r="A47" t="str">
            <v>4075800</v>
          </cell>
          <cell r="B47" t="str">
            <v>SUMINISTRO DE TUBERÍAS DE POLIETILENO</v>
          </cell>
          <cell r="C47">
            <v>0</v>
          </cell>
          <cell r="D47">
            <v>0</v>
          </cell>
          <cell r="E47">
            <v>0</v>
          </cell>
          <cell r="F47">
            <v>2064037618.6524639</v>
          </cell>
        </row>
        <row r="48">
          <cell r="A48" t="str">
            <v>4075787</v>
          </cell>
          <cell r="B48" t="str">
            <v>Suministro de tubería de polietileno para alcantarillado SN 8,  Ø interior 785 mm (800 mm). Incluye un costo adicional del 15% por concepto del transporte a la región (Turbo).</v>
          </cell>
          <cell r="C48" t="str">
            <v>m</v>
          </cell>
          <cell r="D48">
            <v>926.21</v>
          </cell>
          <cell r="E48">
            <v>242694.98655999996</v>
          </cell>
          <cell r="F48">
            <v>224786523.50173756</v>
          </cell>
        </row>
        <row r="49">
          <cell r="A49" t="str">
            <v>4075809</v>
          </cell>
          <cell r="B49" t="str">
            <v xml:space="preserve">Suministro de tubería de polietileno para acueducto PE 100 PN 6 RDE 26, Øint. 147.7 mm, (160 mm). </v>
          </cell>
          <cell r="C49" t="str">
            <v>m</v>
          </cell>
          <cell r="D49">
            <v>21638.400000000001</v>
          </cell>
          <cell r="E49">
            <v>29622.910719999996</v>
          </cell>
          <cell r="F49">
            <v>640992391.32364798</v>
          </cell>
        </row>
        <row r="50">
          <cell r="A50" t="str">
            <v>4075810</v>
          </cell>
          <cell r="B50" t="str">
            <v xml:space="preserve">Suministro de tubería de polietileno para acueducto PE 100 PN 6 RDE 26, Øint. 184.6 mm, (200 mm). </v>
          </cell>
          <cell r="C50" t="str">
            <v>m</v>
          </cell>
          <cell r="D50">
            <v>13262.41</v>
          </cell>
          <cell r="E50">
            <v>46226.835199999994</v>
          </cell>
          <cell r="F50">
            <v>613079241.42483187</v>
          </cell>
        </row>
        <row r="51">
          <cell r="A51" t="str">
            <v>4075812</v>
          </cell>
          <cell r="B51" t="str">
            <v xml:space="preserve">Suministro de tubería de polietileno para acueducto PE 100 PN 6 RDE 26, Øint. 230.8 mm, (250 mm). </v>
          </cell>
          <cell r="C51" t="str">
            <v>m</v>
          </cell>
          <cell r="D51">
            <v>1350.08</v>
          </cell>
          <cell r="E51">
            <v>72264.807679999998</v>
          </cell>
          <cell r="F51">
            <v>97563271.552614391</v>
          </cell>
        </row>
        <row r="52">
          <cell r="A52" t="str">
            <v>4075814</v>
          </cell>
          <cell r="B52" t="str">
            <v xml:space="preserve">Suministro de tubería de polietileno para acueducto PE 100 PN 6 RDE 26, Øint. 290.8 mm, (315 mm). </v>
          </cell>
          <cell r="C52" t="str">
            <v>m</v>
          </cell>
          <cell r="D52">
            <v>549.9</v>
          </cell>
          <cell r="E52">
            <v>114718.02367999998</v>
          </cell>
          <cell r="F52">
            <v>63083441.221631989</v>
          </cell>
        </row>
        <row r="53">
          <cell r="A53" t="str">
            <v>4075815</v>
          </cell>
          <cell r="B53" t="str">
            <v xml:space="preserve">Suministro de tubería de polietileno para acueducto PE 100 PN 6 RDE 26, Øint. 327.8 mm, (355 mm). </v>
          </cell>
          <cell r="C53" t="str">
            <v>m</v>
          </cell>
          <cell r="D53">
            <v>108.03</v>
          </cell>
          <cell r="E53">
            <v>145756.0416</v>
          </cell>
          <cell r="F53">
            <v>15746025.174047999</v>
          </cell>
        </row>
        <row r="54">
          <cell r="A54" t="str">
            <v>4075845</v>
          </cell>
          <cell r="B54" t="str">
            <v xml:space="preserve">Suministro de tubería de polietileno para acueducto PE 100 PN 6 RDE 26, Øint. 415.6 mm, (450 mm). </v>
          </cell>
          <cell r="C54" t="str">
            <v>m</v>
          </cell>
          <cell r="D54">
            <v>192.59</v>
          </cell>
          <cell r="E54">
            <v>234153.07135999997</v>
          </cell>
          <cell r="F54">
            <v>45095540.013222396</v>
          </cell>
        </row>
        <row r="55">
          <cell r="A55" t="str">
            <v>4075846</v>
          </cell>
          <cell r="B55" t="str">
            <v xml:space="preserve">Suministro de tubería de polietileno para acueducto PE 100 PN 6 RDE 26, Øint. 461.8 mm, (500 mm). </v>
          </cell>
          <cell r="C55" t="str">
            <v>m</v>
          </cell>
          <cell r="D55">
            <v>225.24</v>
          </cell>
          <cell r="E55">
            <v>289059.23071999999</v>
          </cell>
          <cell r="F55">
            <v>65107701.127372801</v>
          </cell>
        </row>
        <row r="56">
          <cell r="A56" t="str">
            <v>4075848</v>
          </cell>
          <cell r="B56" t="str">
            <v xml:space="preserve">Suministro de tubería de polietileno para acueducto PE 100 PN 6 RDE 26, Øint. 581.8 mm, (630 mm). </v>
          </cell>
          <cell r="C56" t="str">
            <v>m</v>
          </cell>
          <cell r="D56">
            <v>650.69000000000005</v>
          </cell>
          <cell r="E56">
            <v>458872.09471999994</v>
          </cell>
          <cell r="F56">
            <v>298583483.31335676</v>
          </cell>
        </row>
        <row r="57">
          <cell r="A57" t="str">
            <v>4075800</v>
          </cell>
          <cell r="B57" t="str">
            <v>SUMINISTRO DE ACCESORIOS DE POLIETILENO</v>
          </cell>
          <cell r="E57">
            <v>0</v>
          </cell>
          <cell r="F57">
            <v>1612330463.6445599</v>
          </cell>
        </row>
        <row r="58">
          <cell r="A58" t="str">
            <v>4082711</v>
          </cell>
          <cell r="B58" t="str">
            <v>Suministro de kit silla yee en PE diámetro 184.6 mm (200 mm) x 147.7 mm (160 mm),. Incluye empaque, codo de 45° y espigo.</v>
          </cell>
          <cell r="C58" t="str">
            <v>un</v>
          </cell>
          <cell r="D58">
            <v>3470</v>
          </cell>
          <cell r="E58">
            <v>197416.03259999995</v>
          </cell>
          <cell r="F58">
            <v>685033633.12199986</v>
          </cell>
        </row>
        <row r="59">
          <cell r="A59" t="str">
            <v>4082712</v>
          </cell>
          <cell r="B59" t="str">
            <v>Suministro de kit silla yee en PE diámetro 230.8 mm (250 mm) x 147.7 mm (160 mm), incluye empaque, codo de 45° y espigo.</v>
          </cell>
          <cell r="C59" t="str">
            <v>un</v>
          </cell>
          <cell r="D59">
            <v>352</v>
          </cell>
          <cell r="E59">
            <v>365498.15107999998</v>
          </cell>
          <cell r="F59">
            <v>128655349.18015999</v>
          </cell>
        </row>
        <row r="60">
          <cell r="A60" t="str">
            <v>4082713</v>
          </cell>
          <cell r="B60" t="str">
            <v>Suministro de kit silla yee en PE diámetro 290.8 mm (315 mm) x 147.7 mm (160 mm), incluye empaque, codo de 45° y espigo.</v>
          </cell>
          <cell r="C60" t="str">
            <v>un</v>
          </cell>
          <cell r="D60">
            <v>143</v>
          </cell>
          <cell r="E60">
            <v>423846.53503999999</v>
          </cell>
          <cell r="F60">
            <v>60610054.51072</v>
          </cell>
        </row>
        <row r="61">
          <cell r="A61" t="str">
            <v>4082714</v>
          </cell>
          <cell r="B61" t="str">
            <v>Suministro de kit silla yee en PE diámetro 369 mm  (400 mm) x 147.7 mm (160 mm), incluye empaque, codo de 45° y espigo.</v>
          </cell>
          <cell r="C61" t="str">
            <v>un</v>
          </cell>
          <cell r="D61">
            <v>28</v>
          </cell>
          <cell r="E61">
            <v>627842.99359999993</v>
          </cell>
          <cell r="F61">
            <v>17579603.820799999</v>
          </cell>
        </row>
        <row r="62">
          <cell r="A62" t="str">
            <v>4082715</v>
          </cell>
          <cell r="B62" t="str">
            <v>Suministro de kit silla yee en PE diámetro 415.6 mm (450 mm) x 147.7 mm (160 mm), incluye empaque, codo de 45° y espigo.</v>
          </cell>
          <cell r="C62" t="str">
            <v>un</v>
          </cell>
          <cell r="D62">
            <v>51</v>
          </cell>
          <cell r="E62">
            <v>737711.79039999994</v>
          </cell>
          <cell r="F62">
            <v>37623301.310399994</v>
          </cell>
        </row>
        <row r="63">
          <cell r="A63" t="str">
            <v>4082716</v>
          </cell>
          <cell r="B63" t="str">
            <v>Suministro de kit silla yee en PE diámetro 461.8 mm (500 mm) x 147.7 mm (160 mm), incluye empaque, codo de 45° y espigo.</v>
          </cell>
          <cell r="C63" t="str">
            <v>un</v>
          </cell>
          <cell r="D63">
            <v>59</v>
          </cell>
          <cell r="E63">
            <v>864121.34852</v>
          </cell>
          <cell r="F63">
            <v>50983159.562679999</v>
          </cell>
        </row>
        <row r="64">
          <cell r="A64" t="str">
            <v>4082717</v>
          </cell>
          <cell r="B64" t="str">
            <v>Suministro de kit silla yee en PE diámetro 581.8 mm (630 mm) x 147.7 mm (160 mm), incluye empaque, codo de 45° y espigo.</v>
          </cell>
          <cell r="C64" t="str">
            <v>un</v>
          </cell>
          <cell r="D64">
            <v>170</v>
          </cell>
          <cell r="E64">
            <v>1070960.9873800001</v>
          </cell>
          <cell r="F64">
            <v>182063367.85460001</v>
          </cell>
        </row>
        <row r="65">
          <cell r="A65" t="str">
            <v>4082718</v>
          </cell>
          <cell r="B65" t="str">
            <v>Suministro de kit silla yee en PE diámetro 785 mm x 147.7 mm (160 mm), incluye empaque, codo de 45° y espigo.</v>
          </cell>
          <cell r="C65" t="str">
            <v>un</v>
          </cell>
          <cell r="D65">
            <v>235</v>
          </cell>
          <cell r="E65">
            <v>1913965.9331199995</v>
          </cell>
          <cell r="F65">
            <v>449781994.28319991</v>
          </cell>
        </row>
        <row r="66">
          <cell r="A66" t="str">
            <v>4082700</v>
          </cell>
          <cell r="B66" t="str">
            <v>TRANSPORTE Y COLOCACIÓN  DE TUBERÍAS DE POLIETILENO</v>
          </cell>
          <cell r="F66">
            <v>1536816964.2219999</v>
          </cell>
        </row>
        <row r="67">
          <cell r="A67" t="str">
            <v>4075859</v>
          </cell>
          <cell r="B67" t="str">
            <v>Transporte y colocación de tubería polietileno PE 100 PN 6 800 mm</v>
          </cell>
          <cell r="C67" t="str">
            <v>m</v>
          </cell>
          <cell r="D67">
            <v>926.21</v>
          </cell>
          <cell r="E67">
            <v>83219.38</v>
          </cell>
          <cell r="F67">
            <v>77078621.949800014</v>
          </cell>
        </row>
        <row r="68">
          <cell r="A68" t="str">
            <v>4075860</v>
          </cell>
          <cell r="B68" t="str">
            <v>Transporte y colocación de tubería polietileno PE 100 PN 6 160 mm</v>
          </cell>
          <cell r="C68" t="str">
            <v>m</v>
          </cell>
          <cell r="D68">
            <v>21638.400000000001</v>
          </cell>
          <cell r="E68">
            <v>35654.67</v>
          </cell>
          <cell r="F68">
            <v>771510011.32800007</v>
          </cell>
        </row>
        <row r="69">
          <cell r="A69" t="str">
            <v>4075861</v>
          </cell>
          <cell r="B69" t="str">
            <v>Transporte y colocación de tubería polietileno PE 100 PN 6 200 mm</v>
          </cell>
          <cell r="C69" t="str">
            <v>m</v>
          </cell>
          <cell r="D69">
            <v>13262.41</v>
          </cell>
          <cell r="E69">
            <v>39445.1</v>
          </cell>
          <cell r="F69">
            <v>523137088.69099998</v>
          </cell>
        </row>
        <row r="70">
          <cell r="A70" t="str">
            <v>4075863</v>
          </cell>
          <cell r="B70" t="str">
            <v>Transporte y colocación de tubería polietileno PE 100 PN 6 250 mm</v>
          </cell>
          <cell r="C70" t="str">
            <v>m</v>
          </cell>
          <cell r="D70">
            <v>1350.08</v>
          </cell>
          <cell r="E70">
            <v>42939.270000000004</v>
          </cell>
          <cell r="F70">
            <v>57971449.641600005</v>
          </cell>
        </row>
        <row r="71">
          <cell r="A71" t="str">
            <v>4075865</v>
          </cell>
          <cell r="B71" t="str">
            <v>Transporte y colocación de tubería polietileno PE 100 PN 6 315 mm</v>
          </cell>
          <cell r="C71" t="str">
            <v>m</v>
          </cell>
          <cell r="D71">
            <v>549.9</v>
          </cell>
          <cell r="E71">
            <v>49471.17</v>
          </cell>
          <cell r="F71">
            <v>27204196.382999998</v>
          </cell>
        </row>
        <row r="72">
          <cell r="A72" t="str">
            <v>4075866</v>
          </cell>
          <cell r="B72" t="str">
            <v>Transporte y colocación de tubería polietileno PE 100 PN 6 355 mm</v>
          </cell>
          <cell r="C72" t="str">
            <v>m</v>
          </cell>
          <cell r="D72">
            <v>108.03</v>
          </cell>
          <cell r="E72">
            <v>55882.740000000005</v>
          </cell>
          <cell r="F72">
            <v>6037012.4022000004</v>
          </cell>
        </row>
        <row r="73">
          <cell r="A73" t="str">
            <v>4075868</v>
          </cell>
          <cell r="B73" t="str">
            <v>Transporte y colocación de tubería polietileno PE 100 PN 6 450 mm</v>
          </cell>
          <cell r="C73" t="str">
            <v>m</v>
          </cell>
          <cell r="D73">
            <v>192.59</v>
          </cell>
          <cell r="E73">
            <v>61096.2</v>
          </cell>
          <cell r="F73">
            <v>11766517.158</v>
          </cell>
        </row>
        <row r="74">
          <cell r="A74" t="str">
            <v>4075869</v>
          </cell>
          <cell r="B74" t="str">
            <v>Transporte y colocación de tubería polietileno PE 100 PN 6 500 mm</v>
          </cell>
          <cell r="C74" t="str">
            <v>m</v>
          </cell>
          <cell r="D74">
            <v>225.24</v>
          </cell>
          <cell r="E74">
            <v>65827.16</v>
          </cell>
          <cell r="F74">
            <v>14826909.518400002</v>
          </cell>
        </row>
        <row r="75">
          <cell r="A75" t="str">
            <v>4075850</v>
          </cell>
          <cell r="B75" t="str">
            <v>Transporte y colocación de tubería polietileno PE 100 PN 6 630 mm</v>
          </cell>
          <cell r="C75" t="str">
            <v>m</v>
          </cell>
          <cell r="D75">
            <v>651</v>
          </cell>
          <cell r="E75">
            <v>72634.649999999994</v>
          </cell>
          <cell r="F75">
            <v>47285157.149999999</v>
          </cell>
        </row>
        <row r="76">
          <cell r="A76" t="str">
            <v>4075700</v>
          </cell>
          <cell r="B76" t="str">
            <v>TRANSPORTE Y COLOCACIÓN  DE  ACCESORIOS DE POLIETILENO</v>
          </cell>
          <cell r="F76">
            <v>77045342.62236999</v>
          </cell>
        </row>
        <row r="77">
          <cell r="A77" t="str">
            <v>4082720</v>
          </cell>
          <cell r="B77" t="str">
            <v>Instalación de kit silla yee en PE dimetro 184.6 mm (200 mm) x 147.7 mm (160 mm), incluye colocación de empaque, codo de 45° y espigo.</v>
          </cell>
          <cell r="C77" t="str">
            <v>un</v>
          </cell>
          <cell r="D77">
            <v>3470</v>
          </cell>
          <cell r="E77">
            <v>14828.936400000001</v>
          </cell>
          <cell r="F77">
            <v>51456409.307999998</v>
          </cell>
        </row>
        <row r="78">
          <cell r="A78" t="str">
            <v>4082721</v>
          </cell>
          <cell r="B78" t="str">
            <v>Instalación de kit silla yee en PE diámetro 230.8 mm (250 mm) x 147.7 mm (160 mm), incluye colocación de empaque, codo de 45° y espigo.</v>
          </cell>
          <cell r="C78" t="str">
            <v>un</v>
          </cell>
          <cell r="D78">
            <v>352</v>
          </cell>
          <cell r="E78">
            <v>15157.997600000001</v>
          </cell>
          <cell r="F78">
            <v>5335615.1551999999</v>
          </cell>
        </row>
        <row r="79">
          <cell r="A79" t="str">
            <v>4082723</v>
          </cell>
          <cell r="B79" t="str">
            <v>Instalación de kit silla yee en PE diámetro 327.8 mm (355 mm) x 147.7 mm (160 mm), incluye colocación de empaque, codo de 45° y espigo.</v>
          </cell>
          <cell r="C79" t="str">
            <v>un</v>
          </cell>
          <cell r="D79">
            <v>143</v>
          </cell>
          <cell r="E79">
            <v>19397.723770000001</v>
          </cell>
          <cell r="F79">
            <v>2773874.4991100002</v>
          </cell>
        </row>
        <row r="80">
          <cell r="A80" t="str">
            <v>4082724</v>
          </cell>
          <cell r="B80" t="str">
            <v>Instalación de kit silla yee en PE diámetro 369 mm  (400 mm) x 147.7 mm (160 mm), incluye colocación de empaque, codo de 45° y espigo.</v>
          </cell>
          <cell r="C80" t="str">
            <v>un</v>
          </cell>
          <cell r="D80">
            <v>28</v>
          </cell>
          <cell r="E80">
            <v>21014.206969999999</v>
          </cell>
          <cell r="F80">
            <v>588397.79515999998</v>
          </cell>
        </row>
        <row r="81">
          <cell r="A81" t="str">
            <v>4082725</v>
          </cell>
          <cell r="B81" t="str">
            <v>Instalación de kit silla yee en PE diámetro 415.6 mm (450 mm) x 147.7 mm (160 mm), incluye colocación de empaque, codo de 45° y espigo.</v>
          </cell>
          <cell r="C81" t="str">
            <v>un</v>
          </cell>
          <cell r="D81">
            <v>51</v>
          </cell>
          <cell r="E81">
            <v>25171.662400000001</v>
          </cell>
          <cell r="F81">
            <v>1283754.7824000001</v>
          </cell>
        </row>
        <row r="82">
          <cell r="A82" t="str">
            <v>4082726</v>
          </cell>
          <cell r="B82" t="str">
            <v>Instalación de kit silla yee en PE diámetro 461.8 mm (500 mm) x 147.7 mm (160 mm), incluye colocación de empaque, codo de 45° y espigo.</v>
          </cell>
          <cell r="C82" t="str">
            <v>un</v>
          </cell>
          <cell r="D82">
            <v>59</v>
          </cell>
          <cell r="E82">
            <v>25548.082400000003</v>
          </cell>
          <cell r="F82">
            <v>1507336.8616000002</v>
          </cell>
        </row>
        <row r="83">
          <cell r="A83" t="str">
            <v>4082727</v>
          </cell>
          <cell r="B83" t="str">
            <v>Instalación de kit silla yee en PE diámetro 581.8 mm (630 mm) x 147.7 mm (160 mm), incluye colocación de empaque, codo de 45° y espigo.</v>
          </cell>
          <cell r="C83" t="str">
            <v>un</v>
          </cell>
          <cell r="D83">
            <v>170</v>
          </cell>
          <cell r="E83">
            <v>29918.494169999998</v>
          </cell>
          <cell r="F83">
            <v>5086144.0088999998</v>
          </cell>
        </row>
        <row r="84">
          <cell r="A84" t="str">
            <v>4082728</v>
          </cell>
          <cell r="B84" t="str">
            <v>Instalación de kit silla yee en PE diámetro 785 mm x 147.7 mm (160 mm), incluye colocación de empaque, codo de 45° y espigo.</v>
          </cell>
          <cell r="C84" t="str">
            <v>un</v>
          </cell>
          <cell r="D84">
            <v>235</v>
          </cell>
          <cell r="E84">
            <v>38356.639199999998</v>
          </cell>
          <cell r="F84">
            <v>9013810.2119999994</v>
          </cell>
        </row>
        <row r="85">
          <cell r="A85" t="str">
            <v>4085200</v>
          </cell>
          <cell r="B85" t="str">
            <v>Cámaras de inspección vaciadas en sitio</v>
          </cell>
          <cell r="C85">
            <v>0</v>
          </cell>
          <cell r="D85">
            <v>0</v>
          </cell>
          <cell r="E85">
            <v>0</v>
          </cell>
          <cell r="F85">
            <v>547468992.18239999</v>
          </cell>
        </row>
        <row r="86">
          <cell r="A86" t="str">
            <v>4085240</v>
          </cell>
          <cell r="B86" t="str">
            <v>Cilindro para cámara de inspección de 1.20 m in situ</v>
          </cell>
          <cell r="C86" t="str">
            <v>m</v>
          </cell>
          <cell r="D86">
            <v>568.35</v>
          </cell>
          <cell r="E86">
            <v>452178.8</v>
          </cell>
          <cell r="F86">
            <v>256995820.97999999</v>
          </cell>
        </row>
        <row r="87">
          <cell r="A87" t="str">
            <v>4085241</v>
          </cell>
          <cell r="B87" t="str">
            <v>Cilindro para cámara de inspección de 1.50 m in situ</v>
          </cell>
          <cell r="C87" t="str">
            <v>m</v>
          </cell>
          <cell r="D87">
            <v>108.19000000000001</v>
          </cell>
          <cell r="E87">
            <v>544554.86</v>
          </cell>
          <cell r="F87">
            <v>58915390.303400002</v>
          </cell>
        </row>
        <row r="88">
          <cell r="A88" t="str">
            <v>4085250</v>
          </cell>
          <cell r="B88" t="str">
            <v>Construcción de cono concéntrico para cámara de inspección de 1.20 m in situ</v>
          </cell>
          <cell r="C88" t="str">
            <v>un</v>
          </cell>
          <cell r="D88">
            <v>203</v>
          </cell>
          <cell r="E88">
            <v>360378.7</v>
          </cell>
          <cell r="F88">
            <v>73156876.100000009</v>
          </cell>
        </row>
        <row r="89">
          <cell r="A89" t="str">
            <v>4085251</v>
          </cell>
          <cell r="B89" t="str">
            <v>Construcción de cono concéntrico para cámara de inspección de 1.50 m in situ</v>
          </cell>
          <cell r="C89" t="str">
            <v>un</v>
          </cell>
          <cell r="D89">
            <v>300</v>
          </cell>
          <cell r="E89">
            <v>495736.17000000004</v>
          </cell>
          <cell r="F89">
            <v>148720851</v>
          </cell>
        </row>
        <row r="90">
          <cell r="A90" t="str">
            <v>4085260</v>
          </cell>
          <cell r="B90" t="str">
            <v>Suministro, transporte y colocación Ganchos para cámara de inspección</v>
          </cell>
          <cell r="C90" t="str">
            <v>un</v>
          </cell>
          <cell r="D90">
            <v>178.1</v>
          </cell>
          <cell r="E90">
            <v>54351.79</v>
          </cell>
          <cell r="F90">
            <v>9680053.7990000006</v>
          </cell>
        </row>
        <row r="91">
          <cell r="A91" t="str">
            <v>4085400</v>
          </cell>
          <cell r="B91" t="str">
            <v>Tapas y anillos de concreto para cámaras y cajas de inspección</v>
          </cell>
          <cell r="C91">
            <v>0</v>
          </cell>
          <cell r="D91">
            <v>0</v>
          </cell>
          <cell r="E91">
            <v>0</v>
          </cell>
          <cell r="F91">
            <v>96225128.089999989</v>
          </cell>
        </row>
        <row r="92">
          <cell r="A92" t="str">
            <v>4085401</v>
          </cell>
          <cell r="B92" t="str">
            <v>Suministro, transporte y colocación Tapas para cámara de inspección Esquema 33</v>
          </cell>
          <cell r="C92" t="str">
            <v>un</v>
          </cell>
          <cell r="D92">
            <v>322</v>
          </cell>
          <cell r="E92">
            <v>269586.08999999997</v>
          </cell>
          <cell r="F92">
            <v>86806720.979999989</v>
          </cell>
        </row>
        <row r="93">
          <cell r="A93" t="str">
            <v>4085460</v>
          </cell>
          <cell r="B93" t="str">
            <v>Suministro, transporte y colocación Juego de anillos prefabricados para cámara de inspección</v>
          </cell>
          <cell r="C93" t="str">
            <v>un</v>
          </cell>
          <cell r="D93">
            <v>49</v>
          </cell>
          <cell r="E93">
            <v>192212.38999999998</v>
          </cell>
          <cell r="F93">
            <v>9418407.1099999994</v>
          </cell>
        </row>
        <row r="94">
          <cell r="A94" t="str">
            <v>4085600</v>
          </cell>
          <cell r="B94" t="str">
            <v xml:space="preserve"> Adecuación de cámaras de inspección existentes</v>
          </cell>
          <cell r="C94">
            <v>0</v>
          </cell>
          <cell r="D94">
            <v>0</v>
          </cell>
          <cell r="E94">
            <v>0</v>
          </cell>
          <cell r="F94">
            <v>123376256.19</v>
          </cell>
        </row>
        <row r="95">
          <cell r="A95" t="str">
            <v>4085663</v>
          </cell>
          <cell r="B95" t="str">
            <v>Construcción. mesa y cañuela para MH de 1.50 m.</v>
          </cell>
          <cell r="C95" t="str">
            <v>un</v>
          </cell>
          <cell r="D95">
            <v>27</v>
          </cell>
          <cell r="E95">
            <v>434684.77</v>
          </cell>
          <cell r="F95">
            <v>11736488.790000001</v>
          </cell>
        </row>
        <row r="96">
          <cell r="A96" t="str">
            <v>4085665</v>
          </cell>
          <cell r="B96" t="str">
            <v>Construcción. mesa y cañuela para MH de 1.20 m.</v>
          </cell>
          <cell r="C96" t="str">
            <v>un</v>
          </cell>
          <cell r="D96">
            <v>294</v>
          </cell>
          <cell r="E96">
            <v>379727.1</v>
          </cell>
          <cell r="F96">
            <v>111639767.39999999</v>
          </cell>
        </row>
        <row r="97">
          <cell r="A97" t="str">
            <v>4085800</v>
          </cell>
          <cell r="B97" t="str">
            <v>Cámaras de caída</v>
          </cell>
          <cell r="C97">
            <v>0</v>
          </cell>
          <cell r="D97">
            <v>0</v>
          </cell>
          <cell r="E97">
            <v>0</v>
          </cell>
          <cell r="F97">
            <v>4812832.38</v>
          </cell>
        </row>
        <row r="98">
          <cell r="A98" t="str">
            <v>4085825</v>
          </cell>
          <cell r="B98" t="str">
            <v>Construcción cámara de caída 1600 en concreto mm (64") Esquema 32</v>
          </cell>
          <cell r="C98" t="str">
            <v>m</v>
          </cell>
          <cell r="D98">
            <v>1</v>
          </cell>
          <cell r="E98">
            <v>4812832.38</v>
          </cell>
          <cell r="F98">
            <v>4812832.38</v>
          </cell>
        </row>
        <row r="99">
          <cell r="A99" t="str">
            <v>4085900</v>
          </cell>
          <cell r="B99" t="str">
            <v>Cajas de empalme a la red</v>
          </cell>
          <cell r="C99">
            <v>0</v>
          </cell>
          <cell r="D99">
            <v>0</v>
          </cell>
          <cell r="E99">
            <v>0</v>
          </cell>
          <cell r="F99">
            <v>401174358.29016006</v>
          </cell>
        </row>
        <row r="100">
          <cell r="A100" t="str">
            <v>4085902</v>
          </cell>
          <cell r="B100" t="str">
            <v>Reparación caja de empalme acometidas alcantarillado.</v>
          </cell>
          <cell r="C100" t="str">
            <v>un</v>
          </cell>
          <cell r="D100">
            <v>4508</v>
          </cell>
          <cell r="E100">
            <v>88991.650020000016</v>
          </cell>
          <cell r="F100">
            <v>401174358.29016006</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tabSelected="1" view="pageBreakPreview" zoomScale="106" zoomScaleNormal="90" zoomScaleSheetLayoutView="106" workbookViewId="0">
      <selection activeCell="F15" sqref="F15"/>
    </sheetView>
  </sheetViews>
  <sheetFormatPr baseColWidth="10" defaultColWidth="9.140625" defaultRowHeight="12.75" x14ac:dyDescent="0.25"/>
  <cols>
    <col min="1" max="1" width="6.140625" style="1182" customWidth="1"/>
    <col min="2" max="2" width="56.42578125" style="1182" customWidth="1"/>
    <col min="3" max="3" width="11" style="1183" customWidth="1"/>
    <col min="4" max="4" width="10.85546875" style="1184" bestFit="1" customWidth="1"/>
    <col min="5" max="5" width="17.28515625" style="1183" customWidth="1"/>
    <col min="6" max="6" width="18.5703125" style="1183" customWidth="1"/>
    <col min="7" max="7" width="18.28515625" style="1124" bestFit="1" customWidth="1"/>
    <col min="8" max="8" width="9.140625" style="1124"/>
    <col min="9" max="9" width="14.7109375" style="1124" bestFit="1" customWidth="1"/>
    <col min="10" max="16384" width="9.140625" style="1124"/>
  </cols>
  <sheetData>
    <row r="1" spans="1:7" ht="11.25" customHeight="1" x14ac:dyDescent="0.25">
      <c r="A1" s="1225"/>
      <c r="B1" s="1225"/>
      <c r="C1" s="1225"/>
      <c r="D1" s="1225"/>
      <c r="E1" s="1225"/>
      <c r="F1" s="1225"/>
    </row>
    <row r="2" spans="1:7" ht="15" customHeight="1" x14ac:dyDescent="0.25">
      <c r="A2" s="1237" t="s">
        <v>521</v>
      </c>
      <c r="B2" s="1237"/>
      <c r="C2" s="1237"/>
      <c r="D2" s="1237"/>
      <c r="E2" s="1237"/>
      <c r="F2" s="1237"/>
    </row>
    <row r="3" spans="1:7" ht="15" customHeight="1" x14ac:dyDescent="0.25">
      <c r="A3" s="1237"/>
      <c r="B3" s="1237"/>
      <c r="C3" s="1237"/>
      <c r="D3" s="1237"/>
      <c r="E3" s="1237"/>
      <c r="F3" s="1237"/>
    </row>
    <row r="4" spans="1:7" ht="27" customHeight="1" x14ac:dyDescent="0.25">
      <c r="A4" s="1215" t="s">
        <v>595</v>
      </c>
      <c r="B4" s="1215"/>
      <c r="C4" s="1215"/>
      <c r="D4" s="1215"/>
      <c r="E4" s="1215"/>
      <c r="F4" s="1215"/>
    </row>
    <row r="5" spans="1:7" ht="40.5" customHeight="1" x14ac:dyDescent="0.25">
      <c r="A5" s="1125" t="s">
        <v>43</v>
      </c>
      <c r="B5" s="1126" t="s">
        <v>1</v>
      </c>
      <c r="C5" s="1126" t="s">
        <v>2</v>
      </c>
      <c r="D5" s="1126" t="s">
        <v>3</v>
      </c>
      <c r="E5" s="1126" t="s">
        <v>4</v>
      </c>
      <c r="F5" s="1209" t="s">
        <v>5</v>
      </c>
    </row>
    <row r="6" spans="1:7" x14ac:dyDescent="0.25">
      <c r="A6" s="1127"/>
      <c r="B6" s="1128" t="s">
        <v>19</v>
      </c>
      <c r="C6" s="1129"/>
      <c r="D6" s="1130"/>
      <c r="E6" s="1131"/>
      <c r="F6" s="1210"/>
    </row>
    <row r="7" spans="1:7" x14ac:dyDescent="0.25">
      <c r="A7" s="1132">
        <v>1</v>
      </c>
      <c r="B7" s="1133" t="s">
        <v>54</v>
      </c>
      <c r="C7" s="1134"/>
      <c r="D7" s="1135"/>
      <c r="E7" s="1136"/>
      <c r="F7" s="1211"/>
    </row>
    <row r="8" spans="1:7" ht="26.25" customHeight="1" x14ac:dyDescent="0.25">
      <c r="A8" s="1137">
        <v>1.1000000000000001</v>
      </c>
      <c r="B8" s="1138" t="s">
        <v>529</v>
      </c>
      <c r="C8" s="1139" t="s">
        <v>16</v>
      </c>
      <c r="D8" s="1140">
        <v>7446.8</v>
      </c>
      <c r="E8" s="1439"/>
      <c r="F8" s="1440"/>
      <c r="G8" s="1143"/>
    </row>
    <row r="9" spans="1:7" ht="15.75" customHeight="1" x14ac:dyDescent="0.25">
      <c r="A9" s="1144">
        <v>1.2</v>
      </c>
      <c r="B9" s="1207" t="s">
        <v>56</v>
      </c>
      <c r="C9" s="1139" t="s">
        <v>16</v>
      </c>
      <c r="D9" s="1140">
        <v>1688.1</v>
      </c>
      <c r="E9" s="1439"/>
      <c r="F9" s="1440"/>
      <c r="G9" s="1143"/>
    </row>
    <row r="10" spans="1:7" x14ac:dyDescent="0.25">
      <c r="A10" s="1144">
        <v>1.3</v>
      </c>
      <c r="B10" s="1207" t="s">
        <v>57</v>
      </c>
      <c r="C10" s="1139" t="s">
        <v>7</v>
      </c>
      <c r="D10" s="1140">
        <v>2340</v>
      </c>
      <c r="E10" s="1439"/>
      <c r="F10" s="1440"/>
      <c r="G10" s="1143"/>
    </row>
    <row r="11" spans="1:7" x14ac:dyDescent="0.25">
      <c r="A11" s="1144">
        <v>1.4</v>
      </c>
      <c r="B11" s="1207" t="s">
        <v>58</v>
      </c>
      <c r="C11" s="1139" t="s">
        <v>7</v>
      </c>
      <c r="D11" s="1140">
        <v>2340</v>
      </c>
      <c r="E11" s="1439"/>
      <c r="F11" s="1440"/>
      <c r="G11" s="1143"/>
    </row>
    <row r="12" spans="1:7" x14ac:dyDescent="0.25">
      <c r="A12" s="1146">
        <v>2</v>
      </c>
      <c r="B12" s="1147" t="s">
        <v>60</v>
      </c>
      <c r="C12" s="1148"/>
      <c r="D12" s="1149"/>
      <c r="E12" s="1441"/>
      <c r="F12" s="1442"/>
      <c r="G12" s="1143"/>
    </row>
    <row r="13" spans="1:7" x14ac:dyDescent="0.25">
      <c r="A13" s="1146">
        <v>2.1</v>
      </c>
      <c r="B13" s="1147" t="s">
        <v>61</v>
      </c>
      <c r="C13" s="1148"/>
      <c r="D13" s="1149"/>
      <c r="E13" s="1441"/>
      <c r="F13" s="1442"/>
      <c r="G13" s="1143"/>
    </row>
    <row r="14" spans="1:7" ht="24.75" customHeight="1" x14ac:dyDescent="0.25">
      <c r="A14" s="1151">
        <v>2.2000000000000002</v>
      </c>
      <c r="B14" s="1152" t="s">
        <v>531</v>
      </c>
      <c r="C14" s="1139" t="s">
        <v>15</v>
      </c>
      <c r="D14" s="1140">
        <v>27800</v>
      </c>
      <c r="E14" s="1439"/>
      <c r="F14" s="1440"/>
      <c r="G14" s="1153"/>
    </row>
    <row r="15" spans="1:7" ht="25.5" x14ac:dyDescent="0.25">
      <c r="A15" s="1151">
        <v>2.2999999999999998</v>
      </c>
      <c r="B15" s="1138" t="s">
        <v>431</v>
      </c>
      <c r="C15" s="1139" t="s">
        <v>15</v>
      </c>
      <c r="D15" s="1140">
        <v>9.9</v>
      </c>
      <c r="E15" s="1439"/>
      <c r="F15" s="1440"/>
      <c r="G15" s="1143"/>
    </row>
    <row r="16" spans="1:7" x14ac:dyDescent="0.25">
      <c r="A16" s="1151">
        <v>2.4</v>
      </c>
      <c r="B16" s="1154" t="s">
        <v>532</v>
      </c>
      <c r="C16" s="1139" t="s">
        <v>15</v>
      </c>
      <c r="D16" s="1140">
        <v>6454</v>
      </c>
      <c r="E16" s="1439"/>
      <c r="F16" s="1440"/>
      <c r="G16" s="1143"/>
    </row>
    <row r="17" spans="1:7" ht="51" x14ac:dyDescent="0.25">
      <c r="A17" s="1155">
        <v>3</v>
      </c>
      <c r="B17" s="1156" t="s">
        <v>533</v>
      </c>
      <c r="C17" s="1148"/>
      <c r="D17" s="1149"/>
      <c r="E17" s="1441"/>
      <c r="F17" s="1442"/>
      <c r="G17" s="1143"/>
    </row>
    <row r="18" spans="1:7" ht="19.5" customHeight="1" x14ac:dyDescent="0.25">
      <c r="A18" s="1137">
        <v>3.1</v>
      </c>
      <c r="B18" s="1138" t="s">
        <v>64</v>
      </c>
      <c r="C18" s="1139" t="s">
        <v>15</v>
      </c>
      <c r="D18" s="1140">
        <v>6043</v>
      </c>
      <c r="E18" s="1439"/>
      <c r="F18" s="1440"/>
      <c r="G18" s="1143"/>
    </row>
    <row r="19" spans="1:7" ht="21.75" customHeight="1" x14ac:dyDescent="0.25">
      <c r="A19" s="1137">
        <v>3.2</v>
      </c>
      <c r="B19" s="1138" t="s">
        <v>65</v>
      </c>
      <c r="C19" s="1139" t="s">
        <v>15</v>
      </c>
      <c r="D19" s="1140">
        <v>15671</v>
      </c>
      <c r="E19" s="1439"/>
      <c r="F19" s="1440"/>
      <c r="G19" s="1143"/>
    </row>
    <row r="20" spans="1:7" ht="25.5" x14ac:dyDescent="0.25">
      <c r="A20" s="1137">
        <v>3.3</v>
      </c>
      <c r="B20" s="1138" t="s">
        <v>66</v>
      </c>
      <c r="C20" s="1139" t="s">
        <v>15</v>
      </c>
      <c r="D20" s="1140">
        <v>9323</v>
      </c>
      <c r="E20" s="1439"/>
      <c r="F20" s="1440"/>
      <c r="G20" s="1143"/>
    </row>
    <row r="21" spans="1:7" x14ac:dyDescent="0.25">
      <c r="A21" s="1137">
        <v>3.4</v>
      </c>
      <c r="B21" s="1138" t="s">
        <v>67</v>
      </c>
      <c r="C21" s="1139" t="s">
        <v>15</v>
      </c>
      <c r="D21" s="1140">
        <v>8.9</v>
      </c>
      <c r="E21" s="1439"/>
      <c r="F21" s="1440"/>
      <c r="G21" s="1143"/>
    </row>
    <row r="22" spans="1:7" x14ac:dyDescent="0.25">
      <c r="A22" s="1137">
        <v>3.5</v>
      </c>
      <c r="B22" s="1138" t="s">
        <v>68</v>
      </c>
      <c r="C22" s="1139" t="s">
        <v>15</v>
      </c>
      <c r="D22" s="1140">
        <v>503.6</v>
      </c>
      <c r="E22" s="1439"/>
      <c r="F22" s="1440"/>
      <c r="G22" s="1143"/>
    </row>
    <row r="23" spans="1:7" x14ac:dyDescent="0.25">
      <c r="A23" s="1137">
        <v>3.6</v>
      </c>
      <c r="B23" s="1157" t="s">
        <v>441</v>
      </c>
      <c r="C23" s="1139" t="s">
        <v>15</v>
      </c>
      <c r="D23" s="1140">
        <v>738.5</v>
      </c>
      <c r="E23" s="1439"/>
      <c r="F23" s="1440"/>
      <c r="G23" s="1143"/>
    </row>
    <row r="24" spans="1:7" x14ac:dyDescent="0.25">
      <c r="A24" s="1132">
        <v>4</v>
      </c>
      <c r="B24" s="1147" t="s">
        <v>69</v>
      </c>
      <c r="C24" s="1148"/>
      <c r="D24" s="1149"/>
      <c r="E24" s="1441"/>
      <c r="F24" s="1442"/>
      <c r="G24" s="1143"/>
    </row>
    <row r="25" spans="1:7" ht="24" customHeight="1" x14ac:dyDescent="0.25">
      <c r="A25" s="1158">
        <v>4.0999999999999996</v>
      </c>
      <c r="B25" s="1138" t="s">
        <v>530</v>
      </c>
      <c r="C25" s="1139" t="s">
        <v>15</v>
      </c>
      <c r="D25" s="1140">
        <v>26255</v>
      </c>
      <c r="E25" s="1439"/>
      <c r="F25" s="1440"/>
      <c r="G25" s="1143"/>
    </row>
    <row r="26" spans="1:7" ht="25.5" x14ac:dyDescent="0.25">
      <c r="A26" s="1155">
        <v>5</v>
      </c>
      <c r="B26" s="1147" t="s">
        <v>71</v>
      </c>
      <c r="C26" s="1148"/>
      <c r="D26" s="1149"/>
      <c r="E26" s="1441"/>
      <c r="F26" s="1442"/>
      <c r="G26" s="1143"/>
    </row>
    <row r="27" spans="1:7" ht="24" customHeight="1" x14ac:dyDescent="0.25">
      <c r="A27" s="1137">
        <v>5.0999999999999996</v>
      </c>
      <c r="B27" s="1138" t="s">
        <v>72</v>
      </c>
      <c r="C27" s="1139" t="s">
        <v>16</v>
      </c>
      <c r="D27" s="1140">
        <v>7447</v>
      </c>
      <c r="E27" s="1439"/>
      <c r="F27" s="1440"/>
      <c r="G27" s="1143"/>
    </row>
    <row r="28" spans="1:7" ht="21.75" customHeight="1" x14ac:dyDescent="0.25">
      <c r="A28" s="1137">
        <v>5.2</v>
      </c>
      <c r="B28" s="1138" t="s">
        <v>74</v>
      </c>
      <c r="C28" s="1139" t="s">
        <v>16</v>
      </c>
      <c r="D28" s="1140">
        <v>1688</v>
      </c>
      <c r="E28" s="1439"/>
      <c r="F28" s="1440"/>
      <c r="G28" s="1143"/>
    </row>
    <row r="29" spans="1:7" ht="25.5" x14ac:dyDescent="0.25">
      <c r="A29" s="1137">
        <v>5.3</v>
      </c>
      <c r="B29" s="1138" t="s">
        <v>75</v>
      </c>
      <c r="C29" s="1139" t="s">
        <v>7</v>
      </c>
      <c r="D29" s="1140">
        <v>2340</v>
      </c>
      <c r="E29" s="1439"/>
      <c r="F29" s="1440"/>
      <c r="G29" s="1143"/>
    </row>
    <row r="30" spans="1:7" ht="25.5" x14ac:dyDescent="0.25">
      <c r="A30" s="1137">
        <v>5.4</v>
      </c>
      <c r="B30" s="1138" t="s">
        <v>76</v>
      </c>
      <c r="C30" s="1139" t="s">
        <v>7</v>
      </c>
      <c r="D30" s="1140">
        <v>2340</v>
      </c>
      <c r="E30" s="1446"/>
      <c r="F30" s="1440"/>
      <c r="G30" s="1143"/>
    </row>
    <row r="31" spans="1:7" x14ac:dyDescent="0.25">
      <c r="A31" s="1137">
        <v>5.5</v>
      </c>
      <c r="B31" s="1138" t="s">
        <v>77</v>
      </c>
      <c r="C31" s="1139" t="s">
        <v>16</v>
      </c>
      <c r="D31" s="1140">
        <v>1711.4</v>
      </c>
      <c r="E31" s="1439"/>
      <c r="F31" s="1440"/>
      <c r="G31" s="1143"/>
    </row>
    <row r="32" spans="1:7" ht="25.5" x14ac:dyDescent="0.25">
      <c r="A32" s="1155">
        <f>+INT(A27)+1</f>
        <v>6</v>
      </c>
      <c r="B32" s="1159" t="s">
        <v>535</v>
      </c>
      <c r="C32" s="1148"/>
      <c r="D32" s="1149"/>
      <c r="E32" s="1441"/>
      <c r="F32" s="1442"/>
      <c r="G32" s="1143"/>
    </row>
    <row r="33" spans="1:9" ht="19.5" customHeight="1" x14ac:dyDescent="0.25">
      <c r="A33" s="1137">
        <v>6.1</v>
      </c>
      <c r="B33" s="1138" t="s">
        <v>374</v>
      </c>
      <c r="C33" s="1139" t="s">
        <v>7</v>
      </c>
      <c r="D33" s="1160">
        <v>15002</v>
      </c>
      <c r="E33" s="1439"/>
      <c r="F33" s="1440"/>
      <c r="G33" s="1143"/>
    </row>
    <row r="34" spans="1:9" ht="21.75" customHeight="1" x14ac:dyDescent="0.25">
      <c r="A34" s="1137">
        <v>6.2</v>
      </c>
      <c r="B34" s="1138" t="s">
        <v>375</v>
      </c>
      <c r="C34" s="1139" t="s">
        <v>7</v>
      </c>
      <c r="D34" s="1160">
        <v>20898</v>
      </c>
      <c r="E34" s="1439"/>
      <c r="F34" s="1440"/>
      <c r="G34" s="1143"/>
    </row>
    <row r="35" spans="1:9" x14ac:dyDescent="0.25">
      <c r="A35" s="1137">
        <v>6.3</v>
      </c>
      <c r="B35" s="1138" t="s">
        <v>376</v>
      </c>
      <c r="C35" s="1139" t="s">
        <v>7</v>
      </c>
      <c r="D35" s="1160">
        <v>4938</v>
      </c>
      <c r="E35" s="1439"/>
      <c r="F35" s="1440"/>
      <c r="G35" s="1143"/>
    </row>
    <row r="36" spans="1:9" x14ac:dyDescent="0.25">
      <c r="A36" s="1137">
        <v>6.4</v>
      </c>
      <c r="B36" s="1138" t="s">
        <v>377</v>
      </c>
      <c r="C36" s="1139" t="s">
        <v>7</v>
      </c>
      <c r="D36" s="1160">
        <v>159</v>
      </c>
      <c r="E36" s="1439"/>
      <c r="F36" s="1440"/>
      <c r="G36" s="1143"/>
    </row>
    <row r="37" spans="1:9" x14ac:dyDescent="0.25">
      <c r="A37" s="1137">
        <v>6.5</v>
      </c>
      <c r="B37" s="1138" t="s">
        <v>378</v>
      </c>
      <c r="C37" s="1139" t="s">
        <v>7</v>
      </c>
      <c r="D37" s="1160">
        <v>2349</v>
      </c>
      <c r="E37" s="1439"/>
      <c r="F37" s="1440"/>
      <c r="G37" s="1143"/>
    </row>
    <row r="38" spans="1:9" x14ac:dyDescent="0.25">
      <c r="A38" s="1137">
        <v>6.6</v>
      </c>
      <c r="B38" s="1157" t="s">
        <v>382</v>
      </c>
      <c r="C38" s="1139" t="s">
        <v>79</v>
      </c>
      <c r="D38" s="1140">
        <v>60</v>
      </c>
      <c r="E38" s="1439"/>
      <c r="F38" s="1440"/>
      <c r="G38" s="1143"/>
    </row>
    <row r="39" spans="1:9" x14ac:dyDescent="0.25">
      <c r="A39" s="1144">
        <v>6.7</v>
      </c>
      <c r="B39" s="1157" t="s">
        <v>381</v>
      </c>
      <c r="C39" s="1139" t="s">
        <v>79</v>
      </c>
      <c r="D39" s="1140">
        <v>220</v>
      </c>
      <c r="E39" s="1439"/>
      <c r="F39" s="1440"/>
      <c r="G39" s="1143"/>
    </row>
    <row r="40" spans="1:9" x14ac:dyDescent="0.25">
      <c r="A40" s="1144">
        <v>6.8</v>
      </c>
      <c r="B40" s="1157" t="s">
        <v>383</v>
      </c>
      <c r="C40" s="1139" t="s">
        <v>79</v>
      </c>
      <c r="D40" s="1140">
        <v>10</v>
      </c>
      <c r="E40" s="1439"/>
      <c r="F40" s="1440"/>
      <c r="G40" s="1143"/>
    </row>
    <row r="41" spans="1:9" x14ac:dyDescent="0.25">
      <c r="A41" s="1144">
        <v>6.9</v>
      </c>
      <c r="B41" s="1157" t="s">
        <v>384</v>
      </c>
      <c r="C41" s="1139" t="s">
        <v>79</v>
      </c>
      <c r="D41" s="1140">
        <v>2</v>
      </c>
      <c r="E41" s="1439"/>
      <c r="F41" s="1440"/>
      <c r="G41" s="1143"/>
    </row>
    <row r="42" spans="1:9" x14ac:dyDescent="0.25">
      <c r="A42" s="1161">
        <v>6.1</v>
      </c>
      <c r="B42" s="1157" t="s">
        <v>385</v>
      </c>
      <c r="C42" s="1139" t="s">
        <v>79</v>
      </c>
      <c r="D42" s="1140">
        <v>9</v>
      </c>
      <c r="E42" s="1439"/>
      <c r="F42" s="1440"/>
      <c r="G42" s="1143"/>
    </row>
    <row r="43" spans="1:9" x14ac:dyDescent="0.25">
      <c r="A43" s="1161">
        <v>6.11</v>
      </c>
      <c r="B43" s="1157" t="s">
        <v>386</v>
      </c>
      <c r="C43" s="1139" t="s">
        <v>79</v>
      </c>
      <c r="D43" s="1140">
        <v>59</v>
      </c>
      <c r="E43" s="1439"/>
      <c r="F43" s="1440"/>
      <c r="G43" s="1143"/>
    </row>
    <row r="44" spans="1:9" ht="20.25" customHeight="1" x14ac:dyDescent="0.25">
      <c r="A44" s="1161">
        <v>6.12</v>
      </c>
      <c r="B44" s="1208" t="s">
        <v>445</v>
      </c>
      <c r="C44" s="1139" t="s">
        <v>79</v>
      </c>
      <c r="D44" s="1140">
        <v>12</v>
      </c>
      <c r="E44" s="1439"/>
      <c r="F44" s="1440"/>
      <c r="G44" s="1143"/>
    </row>
    <row r="45" spans="1:9" x14ac:dyDescent="0.25">
      <c r="A45" s="1161">
        <v>6.13</v>
      </c>
      <c r="B45" s="1157" t="s">
        <v>387</v>
      </c>
      <c r="C45" s="1139" t="s">
        <v>79</v>
      </c>
      <c r="D45" s="1140">
        <v>50</v>
      </c>
      <c r="E45" s="1439"/>
      <c r="F45" s="1440"/>
      <c r="G45" s="1143"/>
      <c r="I45" s="1162"/>
    </row>
    <row r="46" spans="1:9" x14ac:dyDescent="0.25">
      <c r="A46" s="1161">
        <v>6.14</v>
      </c>
      <c r="B46" s="1157" t="s">
        <v>388</v>
      </c>
      <c r="C46" s="1139" t="s">
        <v>79</v>
      </c>
      <c r="D46" s="1140">
        <v>180</v>
      </c>
      <c r="E46" s="1439"/>
      <c r="F46" s="1440"/>
      <c r="G46" s="1143"/>
    </row>
    <row r="47" spans="1:9" x14ac:dyDescent="0.25">
      <c r="A47" s="1161">
        <v>6.15</v>
      </c>
      <c r="B47" s="1157" t="s">
        <v>389</v>
      </c>
      <c r="C47" s="1139" t="s">
        <v>79</v>
      </c>
      <c r="D47" s="1140">
        <v>10</v>
      </c>
      <c r="E47" s="1439"/>
      <c r="F47" s="1440"/>
      <c r="G47" s="1143"/>
    </row>
    <row r="48" spans="1:9" x14ac:dyDescent="0.25">
      <c r="A48" s="1161">
        <v>6.16</v>
      </c>
      <c r="B48" s="1157" t="s">
        <v>390</v>
      </c>
      <c r="C48" s="1139" t="s">
        <v>79</v>
      </c>
      <c r="D48" s="1140">
        <v>24</v>
      </c>
      <c r="E48" s="1439"/>
      <c r="F48" s="1440"/>
      <c r="G48" s="1143"/>
    </row>
    <row r="49" spans="1:7" x14ac:dyDescent="0.25">
      <c r="A49" s="1161">
        <v>6.17</v>
      </c>
      <c r="B49" s="1157" t="s">
        <v>391</v>
      </c>
      <c r="C49" s="1139" t="s">
        <v>79</v>
      </c>
      <c r="D49" s="1140">
        <v>34</v>
      </c>
      <c r="E49" s="1439"/>
      <c r="F49" s="1440"/>
      <c r="G49" s="1143"/>
    </row>
    <row r="50" spans="1:7" x14ac:dyDescent="0.25">
      <c r="A50" s="1161">
        <v>6.18</v>
      </c>
      <c r="B50" s="1157" t="s">
        <v>392</v>
      </c>
      <c r="C50" s="1139" t="s">
        <v>79</v>
      </c>
      <c r="D50" s="1140">
        <v>18</v>
      </c>
      <c r="E50" s="1439"/>
      <c r="F50" s="1440"/>
      <c r="G50" s="1143"/>
    </row>
    <row r="51" spans="1:7" x14ac:dyDescent="0.25">
      <c r="A51" s="1161">
        <v>6.19</v>
      </c>
      <c r="B51" s="1157" t="s">
        <v>393</v>
      </c>
      <c r="C51" s="1139" t="s">
        <v>79</v>
      </c>
      <c r="D51" s="1140">
        <v>8</v>
      </c>
      <c r="E51" s="1439"/>
      <c r="F51" s="1440"/>
      <c r="G51" s="1143"/>
    </row>
    <row r="52" spans="1:7" x14ac:dyDescent="0.25">
      <c r="A52" s="1161">
        <v>6.2</v>
      </c>
      <c r="B52" s="1157" t="s">
        <v>394</v>
      </c>
      <c r="C52" s="1139" t="s">
        <v>79</v>
      </c>
      <c r="D52" s="1140">
        <v>1</v>
      </c>
      <c r="E52" s="1439"/>
      <c r="F52" s="1440"/>
      <c r="G52" s="1143"/>
    </row>
    <row r="53" spans="1:7" x14ac:dyDescent="0.25">
      <c r="A53" s="1161">
        <v>6.21</v>
      </c>
      <c r="B53" s="1157" t="s">
        <v>395</v>
      </c>
      <c r="C53" s="1139" t="s">
        <v>79</v>
      </c>
      <c r="D53" s="1140">
        <v>3</v>
      </c>
      <c r="E53" s="1439"/>
      <c r="F53" s="1440"/>
      <c r="G53" s="1143"/>
    </row>
    <row r="54" spans="1:7" x14ac:dyDescent="0.25">
      <c r="A54" s="1161">
        <v>6.22</v>
      </c>
      <c r="B54" s="1157" t="s">
        <v>396</v>
      </c>
      <c r="C54" s="1139" t="s">
        <v>79</v>
      </c>
      <c r="D54" s="1140">
        <v>3</v>
      </c>
      <c r="E54" s="1439"/>
      <c r="F54" s="1440"/>
      <c r="G54" s="1143"/>
    </row>
    <row r="55" spans="1:7" x14ac:dyDescent="0.25">
      <c r="A55" s="1161">
        <v>6.23</v>
      </c>
      <c r="B55" s="1157" t="s">
        <v>397</v>
      </c>
      <c r="C55" s="1139" t="s">
        <v>79</v>
      </c>
      <c r="D55" s="1140">
        <v>480</v>
      </c>
      <c r="E55" s="1439"/>
      <c r="F55" s="1440"/>
      <c r="G55" s="1143"/>
    </row>
    <row r="56" spans="1:7" x14ac:dyDescent="0.25">
      <c r="A56" s="1161">
        <v>6.24</v>
      </c>
      <c r="B56" s="1157" t="s">
        <v>398</v>
      </c>
      <c r="C56" s="1139" t="s">
        <v>79</v>
      </c>
      <c r="D56" s="1140">
        <v>138</v>
      </c>
      <c r="E56" s="1439"/>
      <c r="F56" s="1440"/>
      <c r="G56" s="1143"/>
    </row>
    <row r="57" spans="1:7" x14ac:dyDescent="0.25">
      <c r="A57" s="1161">
        <v>6.25</v>
      </c>
      <c r="B57" s="1157" t="s">
        <v>399</v>
      </c>
      <c r="C57" s="1139" t="s">
        <v>79</v>
      </c>
      <c r="D57" s="1140">
        <v>16</v>
      </c>
      <c r="E57" s="1439"/>
      <c r="F57" s="1440"/>
      <c r="G57" s="1143"/>
    </row>
    <row r="58" spans="1:7" x14ac:dyDescent="0.25">
      <c r="A58" s="1161">
        <v>6.26</v>
      </c>
      <c r="B58" s="1157" t="s">
        <v>400</v>
      </c>
      <c r="C58" s="1139" t="s">
        <v>79</v>
      </c>
      <c r="D58" s="1140">
        <v>2</v>
      </c>
      <c r="E58" s="1439"/>
      <c r="F58" s="1440"/>
      <c r="G58" s="1143"/>
    </row>
    <row r="59" spans="1:7" x14ac:dyDescent="0.25">
      <c r="A59" s="1161">
        <v>6.27</v>
      </c>
      <c r="B59" s="1157" t="s">
        <v>401</v>
      </c>
      <c r="C59" s="1139" t="s">
        <v>79</v>
      </c>
      <c r="D59" s="1140">
        <v>18</v>
      </c>
      <c r="E59" s="1439"/>
      <c r="F59" s="1440"/>
      <c r="G59" s="1143"/>
    </row>
    <row r="60" spans="1:7" x14ac:dyDescent="0.25">
      <c r="A60" s="1158">
        <v>6.28</v>
      </c>
      <c r="B60" s="1138" t="s">
        <v>80</v>
      </c>
      <c r="C60" s="1139" t="s">
        <v>79</v>
      </c>
      <c r="D60" s="1140">
        <v>7</v>
      </c>
      <c r="E60" s="1439"/>
      <c r="F60" s="1440"/>
      <c r="G60" s="1143"/>
    </row>
    <row r="61" spans="1:7" x14ac:dyDescent="0.25">
      <c r="A61" s="1158">
        <v>6.29</v>
      </c>
      <c r="B61" s="1138" t="s">
        <v>81</v>
      </c>
      <c r="C61" s="1139" t="s">
        <v>79</v>
      </c>
      <c r="D61" s="1140">
        <v>3</v>
      </c>
      <c r="E61" s="1439"/>
      <c r="F61" s="1440"/>
      <c r="G61" s="1143"/>
    </row>
    <row r="62" spans="1:7" x14ac:dyDescent="0.25">
      <c r="A62" s="1155">
        <v>7</v>
      </c>
      <c r="B62" s="1147" t="s">
        <v>536</v>
      </c>
      <c r="C62" s="1148"/>
      <c r="D62" s="1149"/>
      <c r="E62" s="1441"/>
      <c r="F62" s="1442"/>
      <c r="G62" s="1143"/>
    </row>
    <row r="63" spans="1:7" x14ac:dyDescent="0.25">
      <c r="A63" s="1144">
        <v>7.1</v>
      </c>
      <c r="B63" s="1157" t="s">
        <v>402</v>
      </c>
      <c r="C63" s="1139" t="s">
        <v>7</v>
      </c>
      <c r="D63" s="1140">
        <v>23805</v>
      </c>
      <c r="E63" s="1439"/>
      <c r="F63" s="1440"/>
      <c r="G63" s="1143"/>
    </row>
    <row r="64" spans="1:7" x14ac:dyDescent="0.25">
      <c r="A64" s="1144">
        <v>7.2</v>
      </c>
      <c r="B64" s="1157" t="s">
        <v>403</v>
      </c>
      <c r="C64" s="1139" t="s">
        <v>7</v>
      </c>
      <c r="D64" s="1140">
        <v>230</v>
      </c>
      <c r="E64" s="1439"/>
      <c r="F64" s="1440"/>
      <c r="G64" s="1143"/>
    </row>
    <row r="65" spans="1:7" x14ac:dyDescent="0.25">
      <c r="A65" s="1144">
        <v>7.3</v>
      </c>
      <c r="B65" s="1157" t="s">
        <v>424</v>
      </c>
      <c r="C65" s="1139" t="s">
        <v>79</v>
      </c>
      <c r="D65" s="1140">
        <v>1963</v>
      </c>
      <c r="E65" s="1439"/>
      <c r="F65" s="1440"/>
      <c r="G65" s="1143"/>
    </row>
    <row r="66" spans="1:7" x14ac:dyDescent="0.25">
      <c r="A66" s="1144">
        <v>7.4</v>
      </c>
      <c r="B66" s="1157" t="s">
        <v>426</v>
      </c>
      <c r="C66" s="1139" t="s">
        <v>79</v>
      </c>
      <c r="D66" s="1140">
        <v>10</v>
      </c>
      <c r="E66" s="1439"/>
      <c r="F66" s="1440"/>
      <c r="G66" s="1143"/>
    </row>
    <row r="67" spans="1:7" x14ac:dyDescent="0.25">
      <c r="A67" s="1144">
        <v>7.5</v>
      </c>
      <c r="B67" s="1157" t="s">
        <v>425</v>
      </c>
      <c r="C67" s="1139" t="s">
        <v>79</v>
      </c>
      <c r="D67" s="1140">
        <v>2725</v>
      </c>
      <c r="E67" s="1439"/>
      <c r="F67" s="1440"/>
      <c r="G67" s="1143"/>
    </row>
    <row r="68" spans="1:7" x14ac:dyDescent="0.25">
      <c r="A68" s="1144">
        <v>7.6</v>
      </c>
      <c r="B68" s="1157" t="s">
        <v>427</v>
      </c>
      <c r="C68" s="1139" t="s">
        <v>79</v>
      </c>
      <c r="D68" s="1140">
        <v>30</v>
      </c>
      <c r="E68" s="1439"/>
      <c r="F68" s="1440"/>
      <c r="G68" s="1143"/>
    </row>
    <row r="69" spans="1:7" x14ac:dyDescent="0.25">
      <c r="A69" s="1144">
        <v>7.7</v>
      </c>
      <c r="B69" s="1157" t="s">
        <v>429</v>
      </c>
      <c r="C69" s="1139" t="s">
        <v>79</v>
      </c>
      <c r="D69" s="1140">
        <v>331</v>
      </c>
      <c r="E69" s="1439"/>
      <c r="F69" s="1440"/>
      <c r="G69" s="1143"/>
    </row>
    <row r="70" spans="1:7" x14ac:dyDescent="0.25">
      <c r="A70" s="1144">
        <v>7.8</v>
      </c>
      <c r="B70" s="1157" t="s">
        <v>592</v>
      </c>
      <c r="C70" s="1139" t="s">
        <v>79</v>
      </c>
      <c r="D70" s="1140">
        <v>4960</v>
      </c>
      <c r="E70" s="1439"/>
      <c r="F70" s="1440"/>
      <c r="G70" s="1143"/>
    </row>
    <row r="71" spans="1:7" x14ac:dyDescent="0.25">
      <c r="A71" s="1144">
        <v>7.9</v>
      </c>
      <c r="B71" s="1157" t="s">
        <v>343</v>
      </c>
      <c r="C71" s="1139" t="s">
        <v>79</v>
      </c>
      <c r="D71" s="1140">
        <v>30</v>
      </c>
      <c r="E71" s="1439"/>
      <c r="F71" s="1440"/>
      <c r="G71" s="1143"/>
    </row>
    <row r="72" spans="1:7" x14ac:dyDescent="0.25">
      <c r="A72" s="1161">
        <v>7.1</v>
      </c>
      <c r="B72" s="1157" t="s">
        <v>344</v>
      </c>
      <c r="C72" s="1139" t="s">
        <v>79</v>
      </c>
      <c r="D72" s="1140">
        <v>1320</v>
      </c>
      <c r="E72" s="1439"/>
      <c r="F72" s="1440"/>
      <c r="G72" s="1143"/>
    </row>
    <row r="73" spans="1:7" x14ac:dyDescent="0.25">
      <c r="A73" s="1161">
        <v>7.11</v>
      </c>
      <c r="B73" s="1157" t="s">
        <v>345</v>
      </c>
      <c r="C73" s="1139" t="s">
        <v>79</v>
      </c>
      <c r="D73" s="1140">
        <v>3172</v>
      </c>
      <c r="E73" s="1439"/>
      <c r="F73" s="1440"/>
      <c r="G73" s="1143"/>
    </row>
    <row r="74" spans="1:7" ht="50.25" customHeight="1" x14ac:dyDescent="0.25">
      <c r="A74" s="1158">
        <v>7.12</v>
      </c>
      <c r="B74" s="1138" t="s">
        <v>534</v>
      </c>
      <c r="C74" s="1139" t="s">
        <v>79</v>
      </c>
      <c r="D74" s="1140">
        <v>3172</v>
      </c>
      <c r="E74" s="1439"/>
      <c r="F74" s="1440"/>
      <c r="G74" s="1143"/>
    </row>
    <row r="75" spans="1:7" x14ac:dyDescent="0.25">
      <c r="A75" s="1161">
        <v>7.13</v>
      </c>
      <c r="B75" s="1157" t="s">
        <v>346</v>
      </c>
      <c r="C75" s="1139" t="s">
        <v>79</v>
      </c>
      <c r="D75" s="1140">
        <v>3172</v>
      </c>
      <c r="E75" s="1439"/>
      <c r="F75" s="1440"/>
      <c r="G75" s="1143"/>
    </row>
    <row r="76" spans="1:7" x14ac:dyDescent="0.25">
      <c r="A76" s="1161">
        <v>7.14</v>
      </c>
      <c r="B76" s="1157" t="s">
        <v>347</v>
      </c>
      <c r="C76" s="1139" t="s">
        <v>79</v>
      </c>
      <c r="D76" s="1140">
        <v>4739</v>
      </c>
      <c r="E76" s="1439"/>
      <c r="F76" s="1440"/>
      <c r="G76" s="1143"/>
    </row>
    <row r="77" spans="1:7" x14ac:dyDescent="0.25">
      <c r="A77" s="1161">
        <v>7.15</v>
      </c>
      <c r="B77" s="1157" t="s">
        <v>348</v>
      </c>
      <c r="C77" s="1139" t="s">
        <v>79</v>
      </c>
      <c r="D77" s="1140">
        <v>4647</v>
      </c>
      <c r="E77" s="1439"/>
      <c r="F77" s="1440"/>
      <c r="G77" s="1143"/>
    </row>
    <row r="78" spans="1:7" x14ac:dyDescent="0.25">
      <c r="A78" s="1146">
        <v>8</v>
      </c>
      <c r="B78" s="1147" t="s">
        <v>349</v>
      </c>
      <c r="C78" s="1148"/>
      <c r="D78" s="1149"/>
      <c r="E78" s="1441"/>
      <c r="F78" s="1442"/>
      <c r="G78" s="1143"/>
    </row>
    <row r="79" spans="1:7" x14ac:dyDescent="0.25">
      <c r="A79" s="1144">
        <v>8.1</v>
      </c>
      <c r="B79" s="1157" t="s">
        <v>83</v>
      </c>
      <c r="C79" s="1139" t="s">
        <v>79</v>
      </c>
      <c r="D79" s="1140">
        <v>33</v>
      </c>
      <c r="E79" s="1439"/>
      <c r="F79" s="1440"/>
      <c r="G79" s="1143"/>
    </row>
    <row r="80" spans="1:7" x14ac:dyDescent="0.25">
      <c r="A80" s="1144">
        <v>8.1999999999999993</v>
      </c>
      <c r="B80" s="1157" t="s">
        <v>84</v>
      </c>
      <c r="C80" s="1139" t="s">
        <v>79</v>
      </c>
      <c r="D80" s="1140">
        <v>3</v>
      </c>
      <c r="E80" s="1439"/>
      <c r="F80" s="1440"/>
      <c r="G80" s="1143"/>
    </row>
    <row r="81" spans="1:7" x14ac:dyDescent="0.25">
      <c r="A81" s="1144">
        <v>8.3000000000000007</v>
      </c>
      <c r="B81" s="1157" t="s">
        <v>85</v>
      </c>
      <c r="C81" s="1139" t="s">
        <v>79</v>
      </c>
      <c r="D81" s="1140">
        <v>2</v>
      </c>
      <c r="E81" s="1439"/>
      <c r="F81" s="1440"/>
      <c r="G81" s="1143"/>
    </row>
    <row r="82" spans="1:7" x14ac:dyDescent="0.25">
      <c r="A82" s="1144">
        <v>8.4</v>
      </c>
      <c r="B82" s="1157" t="s">
        <v>86</v>
      </c>
      <c r="C82" s="1139" t="s">
        <v>79</v>
      </c>
      <c r="D82" s="1140">
        <v>3</v>
      </c>
      <c r="E82" s="1439"/>
      <c r="F82" s="1440"/>
      <c r="G82" s="1143"/>
    </row>
    <row r="83" spans="1:7" ht="25.5" x14ac:dyDescent="0.25">
      <c r="A83" s="1137">
        <v>8.5</v>
      </c>
      <c r="B83" s="1138" t="s">
        <v>519</v>
      </c>
      <c r="C83" s="1139" t="s">
        <v>79</v>
      </c>
      <c r="D83" s="1140">
        <v>3172</v>
      </c>
      <c r="E83" s="1439"/>
      <c r="F83" s="1440"/>
      <c r="G83" s="1143"/>
    </row>
    <row r="84" spans="1:7" ht="21.75" customHeight="1" x14ac:dyDescent="0.25">
      <c r="A84" s="1144">
        <v>8.6</v>
      </c>
      <c r="B84" s="1138" t="s">
        <v>87</v>
      </c>
      <c r="C84" s="1139" t="s">
        <v>79</v>
      </c>
      <c r="D84" s="1140">
        <v>480</v>
      </c>
      <c r="E84" s="1439"/>
      <c r="F84" s="1440"/>
      <c r="G84" s="1143"/>
    </row>
    <row r="85" spans="1:7" ht="20.25" customHeight="1" x14ac:dyDescent="0.25">
      <c r="A85" s="1144">
        <v>8.6999999999999993</v>
      </c>
      <c r="B85" s="1138" t="s">
        <v>88</v>
      </c>
      <c r="C85" s="1139" t="s">
        <v>79</v>
      </c>
      <c r="D85" s="1140">
        <v>138</v>
      </c>
      <c r="E85" s="1439"/>
      <c r="F85" s="1440"/>
      <c r="G85" s="1143"/>
    </row>
    <row r="86" spans="1:7" ht="21" customHeight="1" x14ac:dyDescent="0.25">
      <c r="A86" s="1144">
        <v>8.8000000000000007</v>
      </c>
      <c r="B86" s="1138" t="s">
        <v>89</v>
      </c>
      <c r="C86" s="1139" t="s">
        <v>79</v>
      </c>
      <c r="D86" s="1140">
        <v>16</v>
      </c>
      <c r="E86" s="1439"/>
      <c r="F86" s="1440"/>
      <c r="G86" s="1143"/>
    </row>
    <row r="87" spans="1:7" ht="24" customHeight="1" x14ac:dyDescent="0.25">
      <c r="A87" s="1144">
        <v>8.9</v>
      </c>
      <c r="B87" s="1138" t="s">
        <v>90</v>
      </c>
      <c r="C87" s="1139" t="s">
        <v>79</v>
      </c>
      <c r="D87" s="1140">
        <v>2</v>
      </c>
      <c r="E87" s="1439"/>
      <c r="F87" s="1440"/>
      <c r="G87" s="1143"/>
    </row>
    <row r="88" spans="1:7" ht="21.75" customHeight="1" x14ac:dyDescent="0.25">
      <c r="A88" s="1161">
        <v>8.1</v>
      </c>
      <c r="B88" s="1138" t="s">
        <v>91</v>
      </c>
      <c r="C88" s="1139" t="s">
        <v>79</v>
      </c>
      <c r="D88" s="1140">
        <v>16</v>
      </c>
      <c r="E88" s="1439"/>
      <c r="F88" s="1440"/>
      <c r="G88" s="1143"/>
    </row>
    <row r="89" spans="1:7" ht="27.75" customHeight="1" x14ac:dyDescent="0.25">
      <c r="A89" s="1158">
        <v>8.11</v>
      </c>
      <c r="B89" s="1138" t="s">
        <v>537</v>
      </c>
      <c r="C89" s="1139" t="s">
        <v>79</v>
      </c>
      <c r="D89" s="1140">
        <v>240</v>
      </c>
      <c r="E89" s="1439"/>
      <c r="F89" s="1440"/>
      <c r="G89" s="1143"/>
    </row>
    <row r="90" spans="1:7" ht="25.5" customHeight="1" x14ac:dyDescent="0.25">
      <c r="A90" s="1158">
        <v>8.1199999999999992</v>
      </c>
      <c r="B90" s="1138" t="s">
        <v>538</v>
      </c>
      <c r="C90" s="1139" t="s">
        <v>79</v>
      </c>
      <c r="D90" s="1140">
        <v>69</v>
      </c>
      <c r="E90" s="1439"/>
      <c r="F90" s="1440"/>
      <c r="G90" s="1143"/>
    </row>
    <row r="91" spans="1:7" ht="29.25" customHeight="1" x14ac:dyDescent="0.25">
      <c r="A91" s="1158">
        <v>8.1300000000000008</v>
      </c>
      <c r="B91" s="1138" t="s">
        <v>539</v>
      </c>
      <c r="C91" s="1139" t="s">
        <v>79</v>
      </c>
      <c r="D91" s="1140">
        <v>8</v>
      </c>
      <c r="E91" s="1439"/>
      <c r="F91" s="1440"/>
      <c r="G91" s="1143"/>
    </row>
    <row r="92" spans="1:7" ht="30" customHeight="1" x14ac:dyDescent="0.25">
      <c r="A92" s="1158">
        <v>8.14</v>
      </c>
      <c r="B92" s="1138" t="s">
        <v>541</v>
      </c>
      <c r="C92" s="1139" t="s">
        <v>79</v>
      </c>
      <c r="D92" s="1140">
        <v>1</v>
      </c>
      <c r="E92" s="1439"/>
      <c r="F92" s="1440"/>
      <c r="G92" s="1143"/>
    </row>
    <row r="93" spans="1:7" ht="27" customHeight="1" x14ac:dyDescent="0.25">
      <c r="A93" s="1158">
        <v>8.15</v>
      </c>
      <c r="B93" s="1138" t="s">
        <v>540</v>
      </c>
      <c r="C93" s="1139" t="s">
        <v>79</v>
      </c>
      <c r="D93" s="1140">
        <v>8</v>
      </c>
      <c r="E93" s="1439"/>
      <c r="F93" s="1440"/>
      <c r="G93" s="1143"/>
    </row>
    <row r="94" spans="1:7" ht="25.5" x14ac:dyDescent="0.25">
      <c r="A94" s="1158">
        <v>8.16</v>
      </c>
      <c r="B94" s="1138" t="s">
        <v>542</v>
      </c>
      <c r="C94" s="1139" t="s">
        <v>79</v>
      </c>
      <c r="D94" s="1140">
        <v>27</v>
      </c>
      <c r="E94" s="1439"/>
      <c r="F94" s="1440"/>
      <c r="G94" s="1143"/>
    </row>
    <row r="95" spans="1:7" ht="38.25" x14ac:dyDescent="0.25">
      <c r="A95" s="1146">
        <v>9</v>
      </c>
      <c r="B95" s="1163" t="s">
        <v>543</v>
      </c>
      <c r="C95" s="1148"/>
      <c r="D95" s="1149"/>
      <c r="E95" s="1441"/>
      <c r="F95" s="1442"/>
      <c r="G95" s="1143"/>
    </row>
    <row r="96" spans="1:7" ht="195.75" customHeight="1" x14ac:dyDescent="0.25">
      <c r="A96" s="1164">
        <v>9.1</v>
      </c>
      <c r="B96" s="1138" t="s">
        <v>569</v>
      </c>
      <c r="C96" s="1165" t="s">
        <v>79</v>
      </c>
      <c r="D96" s="1140">
        <v>2</v>
      </c>
      <c r="E96" s="1446"/>
      <c r="F96" s="1440"/>
      <c r="G96" s="1143"/>
    </row>
    <row r="97" spans="1:7" ht="385.5" customHeight="1" x14ac:dyDescent="0.25">
      <c r="A97" s="1216">
        <v>9.1999999999999993</v>
      </c>
      <c r="B97" s="1166" t="s">
        <v>591</v>
      </c>
      <c r="C97" s="1219" t="s">
        <v>79</v>
      </c>
      <c r="D97" s="1222">
        <v>1</v>
      </c>
      <c r="E97" s="1447"/>
      <c r="F97" s="1448"/>
      <c r="G97" s="1143"/>
    </row>
    <row r="98" spans="1:7" ht="337.5" customHeight="1" x14ac:dyDescent="0.25">
      <c r="A98" s="1218"/>
      <c r="B98" s="1167" t="s">
        <v>570</v>
      </c>
      <c r="C98" s="1221"/>
      <c r="D98" s="1224"/>
      <c r="E98" s="1449"/>
      <c r="F98" s="1450"/>
      <c r="G98" s="1143"/>
    </row>
    <row r="99" spans="1:7" ht="396" customHeight="1" x14ac:dyDescent="0.25">
      <c r="A99" s="1164">
        <v>9.3000000000000007</v>
      </c>
      <c r="B99" s="1138" t="s">
        <v>571</v>
      </c>
      <c r="C99" s="1165" t="s">
        <v>79</v>
      </c>
      <c r="D99" s="1140">
        <v>1</v>
      </c>
      <c r="E99" s="1446"/>
      <c r="F99" s="1440"/>
      <c r="G99" s="1143"/>
    </row>
    <row r="100" spans="1:7" ht="171.75" customHeight="1" x14ac:dyDescent="0.25">
      <c r="A100" s="1164">
        <v>9.4</v>
      </c>
      <c r="B100" s="1138" t="s">
        <v>572</v>
      </c>
      <c r="C100" s="1165" t="s">
        <v>79</v>
      </c>
      <c r="D100" s="1140">
        <v>1</v>
      </c>
      <c r="E100" s="1446"/>
      <c r="F100" s="1440"/>
      <c r="G100" s="1143"/>
    </row>
    <row r="101" spans="1:7" ht="25.5" x14ac:dyDescent="0.25">
      <c r="A101" s="1216">
        <v>9.5</v>
      </c>
      <c r="B101" s="1166" t="s">
        <v>573</v>
      </c>
      <c r="C101" s="1219" t="s">
        <v>79</v>
      </c>
      <c r="D101" s="1222">
        <v>1</v>
      </c>
      <c r="E101" s="1447"/>
      <c r="F101" s="1448"/>
      <c r="G101" s="1143"/>
    </row>
    <row r="102" spans="1:7" ht="40.5" customHeight="1" x14ac:dyDescent="0.25">
      <c r="A102" s="1217"/>
      <c r="B102" s="1168" t="s">
        <v>574</v>
      </c>
      <c r="C102" s="1220"/>
      <c r="D102" s="1223"/>
      <c r="E102" s="1451"/>
      <c r="F102" s="1452"/>
      <c r="G102" s="1143"/>
    </row>
    <row r="103" spans="1:7" ht="41.25" customHeight="1" x14ac:dyDescent="0.25">
      <c r="A103" s="1217"/>
      <c r="B103" s="1168" t="s">
        <v>575</v>
      </c>
      <c r="C103" s="1220"/>
      <c r="D103" s="1223"/>
      <c r="E103" s="1451"/>
      <c r="F103" s="1452"/>
      <c r="G103" s="1143"/>
    </row>
    <row r="104" spans="1:7" ht="43.5" customHeight="1" x14ac:dyDescent="0.25">
      <c r="A104" s="1217"/>
      <c r="B104" s="1168" t="s">
        <v>576</v>
      </c>
      <c r="C104" s="1220"/>
      <c r="D104" s="1223"/>
      <c r="E104" s="1451"/>
      <c r="F104" s="1452"/>
      <c r="G104" s="1143"/>
    </row>
    <row r="105" spans="1:7" ht="50.25" customHeight="1" x14ac:dyDescent="0.25">
      <c r="A105" s="1217"/>
      <c r="B105" s="1168" t="s">
        <v>588</v>
      </c>
      <c r="C105" s="1220"/>
      <c r="D105" s="1223"/>
      <c r="E105" s="1451"/>
      <c r="F105" s="1452"/>
      <c r="G105" s="1143"/>
    </row>
    <row r="106" spans="1:7" ht="32.25" customHeight="1" x14ac:dyDescent="0.25">
      <c r="A106" s="1217"/>
      <c r="B106" s="1168" t="s">
        <v>577</v>
      </c>
      <c r="C106" s="1220"/>
      <c r="D106" s="1223"/>
      <c r="E106" s="1451"/>
      <c r="F106" s="1452"/>
      <c r="G106" s="1143"/>
    </row>
    <row r="107" spans="1:7" ht="45.75" customHeight="1" x14ac:dyDescent="0.25">
      <c r="A107" s="1217"/>
      <c r="B107" s="1168" t="s">
        <v>578</v>
      </c>
      <c r="C107" s="1220"/>
      <c r="D107" s="1223"/>
      <c r="E107" s="1451"/>
      <c r="F107" s="1452"/>
      <c r="G107" s="1143"/>
    </row>
    <row r="108" spans="1:7" ht="48" customHeight="1" x14ac:dyDescent="0.25">
      <c r="A108" s="1217"/>
      <c r="B108" s="1168" t="s">
        <v>579</v>
      </c>
      <c r="C108" s="1220"/>
      <c r="D108" s="1223"/>
      <c r="E108" s="1451"/>
      <c r="F108" s="1452"/>
      <c r="G108" s="1143"/>
    </row>
    <row r="109" spans="1:7" ht="30" customHeight="1" x14ac:dyDescent="0.25">
      <c r="A109" s="1217"/>
      <c r="B109" s="1168" t="s">
        <v>580</v>
      </c>
      <c r="C109" s="1220"/>
      <c r="D109" s="1223"/>
      <c r="E109" s="1451"/>
      <c r="F109" s="1452"/>
      <c r="G109" s="1143"/>
    </row>
    <row r="110" spans="1:7" ht="69.75" customHeight="1" x14ac:dyDescent="0.25">
      <c r="A110" s="1217"/>
      <c r="B110" s="1168" t="s">
        <v>581</v>
      </c>
      <c r="C110" s="1220"/>
      <c r="D110" s="1223"/>
      <c r="E110" s="1451"/>
      <c r="F110" s="1452"/>
      <c r="G110" s="1143"/>
    </row>
    <row r="111" spans="1:7" ht="45.75" customHeight="1" x14ac:dyDescent="0.25">
      <c r="A111" s="1217"/>
      <c r="B111" s="1168" t="s">
        <v>582</v>
      </c>
      <c r="C111" s="1220"/>
      <c r="D111" s="1223"/>
      <c r="E111" s="1451"/>
      <c r="F111" s="1452"/>
      <c r="G111" s="1143"/>
    </row>
    <row r="112" spans="1:7" ht="75.75" customHeight="1" x14ac:dyDescent="0.25">
      <c r="A112" s="1217"/>
      <c r="B112" s="1168" t="s">
        <v>583</v>
      </c>
      <c r="C112" s="1220"/>
      <c r="D112" s="1223"/>
      <c r="E112" s="1451"/>
      <c r="F112" s="1452"/>
      <c r="G112" s="1143"/>
    </row>
    <row r="113" spans="1:7" ht="24.75" customHeight="1" x14ac:dyDescent="0.25">
      <c r="A113" s="1217"/>
      <c r="B113" s="1168" t="s">
        <v>584</v>
      </c>
      <c r="C113" s="1220"/>
      <c r="D113" s="1223"/>
      <c r="E113" s="1451"/>
      <c r="F113" s="1452"/>
      <c r="G113" s="1143"/>
    </row>
    <row r="114" spans="1:7" ht="45.75" customHeight="1" x14ac:dyDescent="0.25">
      <c r="A114" s="1217"/>
      <c r="B114" s="1168" t="s">
        <v>585</v>
      </c>
      <c r="C114" s="1220"/>
      <c r="D114" s="1223"/>
      <c r="E114" s="1451"/>
      <c r="F114" s="1452"/>
      <c r="G114" s="1143"/>
    </row>
    <row r="115" spans="1:7" ht="51" x14ac:dyDescent="0.25">
      <c r="A115" s="1217"/>
      <c r="B115" s="1168" t="s">
        <v>586</v>
      </c>
      <c r="C115" s="1220"/>
      <c r="D115" s="1223"/>
      <c r="E115" s="1451"/>
      <c r="F115" s="1452"/>
      <c r="G115" s="1143"/>
    </row>
    <row r="116" spans="1:7" ht="41.25" customHeight="1" x14ac:dyDescent="0.25">
      <c r="A116" s="1218"/>
      <c r="B116" s="1169" t="s">
        <v>587</v>
      </c>
      <c r="C116" s="1221"/>
      <c r="D116" s="1224"/>
      <c r="E116" s="1449"/>
      <c r="F116" s="1450"/>
      <c r="G116" s="1143"/>
    </row>
    <row r="117" spans="1:7" ht="42" customHeight="1" x14ac:dyDescent="0.25">
      <c r="A117" s="1216">
        <v>9.6</v>
      </c>
      <c r="B117" s="1166" t="s">
        <v>589</v>
      </c>
      <c r="C117" s="1219" t="s">
        <v>79</v>
      </c>
      <c r="D117" s="1222">
        <v>1</v>
      </c>
      <c r="E117" s="1447"/>
      <c r="F117" s="1448"/>
      <c r="G117" s="1143"/>
    </row>
    <row r="118" spans="1:7" ht="32.25" customHeight="1" x14ac:dyDescent="0.25">
      <c r="A118" s="1217"/>
      <c r="B118" s="1170" t="s">
        <v>510</v>
      </c>
      <c r="C118" s="1220"/>
      <c r="D118" s="1223"/>
      <c r="E118" s="1451"/>
      <c r="F118" s="1452"/>
      <c r="G118" s="1143"/>
    </row>
    <row r="119" spans="1:7" ht="32.25" customHeight="1" x14ac:dyDescent="0.25">
      <c r="A119" s="1217"/>
      <c r="B119" s="1170" t="s">
        <v>511</v>
      </c>
      <c r="C119" s="1220"/>
      <c r="D119" s="1223"/>
      <c r="E119" s="1451"/>
      <c r="F119" s="1452"/>
      <c r="G119" s="1143"/>
    </row>
    <row r="120" spans="1:7" ht="32.25" customHeight="1" x14ac:dyDescent="0.25">
      <c r="A120" s="1217"/>
      <c r="B120" s="1170" t="s">
        <v>512</v>
      </c>
      <c r="C120" s="1220"/>
      <c r="D120" s="1223"/>
      <c r="E120" s="1451"/>
      <c r="F120" s="1452"/>
      <c r="G120" s="1143"/>
    </row>
    <row r="121" spans="1:7" ht="28.5" customHeight="1" x14ac:dyDescent="0.25">
      <c r="A121" s="1217"/>
      <c r="B121" s="1170" t="s">
        <v>513</v>
      </c>
      <c r="C121" s="1220"/>
      <c r="D121" s="1223"/>
      <c r="E121" s="1451"/>
      <c r="F121" s="1452"/>
      <c r="G121" s="1143"/>
    </row>
    <row r="122" spans="1:7" ht="25.5" x14ac:dyDescent="0.25">
      <c r="A122" s="1217"/>
      <c r="B122" s="1170" t="s">
        <v>495</v>
      </c>
      <c r="C122" s="1220"/>
      <c r="D122" s="1223"/>
      <c r="E122" s="1451"/>
      <c r="F122" s="1452"/>
      <c r="G122" s="1143"/>
    </row>
    <row r="123" spans="1:7" ht="38.25" x14ac:dyDescent="0.25">
      <c r="A123" s="1217"/>
      <c r="B123" s="1170" t="s">
        <v>514</v>
      </c>
      <c r="C123" s="1220"/>
      <c r="D123" s="1223"/>
      <c r="E123" s="1451"/>
      <c r="F123" s="1452"/>
      <c r="G123" s="1143"/>
    </row>
    <row r="124" spans="1:7" ht="39" customHeight="1" x14ac:dyDescent="0.25">
      <c r="A124" s="1218"/>
      <c r="B124" s="1167" t="s">
        <v>590</v>
      </c>
      <c r="C124" s="1221"/>
      <c r="D124" s="1224"/>
      <c r="E124" s="1449"/>
      <c r="F124" s="1450"/>
      <c r="G124" s="1143"/>
    </row>
    <row r="125" spans="1:7" x14ac:dyDescent="0.25">
      <c r="A125" s="1146">
        <v>10</v>
      </c>
      <c r="B125" s="1147" t="s">
        <v>97</v>
      </c>
      <c r="C125" s="1148"/>
      <c r="D125" s="1149"/>
      <c r="E125" s="1441"/>
      <c r="F125" s="1442"/>
      <c r="G125" s="1143"/>
    </row>
    <row r="126" spans="1:7" ht="38.25" x14ac:dyDescent="0.25">
      <c r="A126" s="1137" t="s">
        <v>366</v>
      </c>
      <c r="B126" s="1138" t="s">
        <v>518</v>
      </c>
      <c r="C126" s="1165" t="s">
        <v>79</v>
      </c>
      <c r="D126" s="1160">
        <v>2</v>
      </c>
      <c r="E126" s="1446"/>
      <c r="F126" s="1440"/>
      <c r="G126" s="1143"/>
    </row>
    <row r="127" spans="1:7" ht="25.5" x14ac:dyDescent="0.25">
      <c r="A127" s="1137">
        <v>10.199999999999999</v>
      </c>
      <c r="B127" s="1138" t="s">
        <v>444</v>
      </c>
      <c r="C127" s="1139" t="s">
        <v>79</v>
      </c>
      <c r="D127" s="1140">
        <v>3172</v>
      </c>
      <c r="E127" s="1439"/>
      <c r="F127" s="1440"/>
      <c r="G127" s="1143"/>
    </row>
    <row r="128" spans="1:7" ht="38.25" x14ac:dyDescent="0.25">
      <c r="A128" s="1137" t="s">
        <v>448</v>
      </c>
      <c r="B128" s="1138" t="s">
        <v>98</v>
      </c>
      <c r="C128" s="1139" t="s">
        <v>79</v>
      </c>
      <c r="D128" s="1140">
        <v>326</v>
      </c>
      <c r="E128" s="1439"/>
      <c r="F128" s="1440"/>
      <c r="G128" s="1143"/>
    </row>
    <row r="129" spans="1:7" x14ac:dyDescent="0.25">
      <c r="A129" s="1137" t="s">
        <v>449</v>
      </c>
      <c r="B129" s="1138" t="s">
        <v>99</v>
      </c>
      <c r="C129" s="1139" t="s">
        <v>7</v>
      </c>
      <c r="D129" s="1140">
        <v>41315</v>
      </c>
      <c r="E129" s="1439"/>
      <c r="F129" s="1440"/>
      <c r="G129" s="1143"/>
    </row>
    <row r="130" spans="1:7" x14ac:dyDescent="0.25">
      <c r="A130" s="1137">
        <v>10.5</v>
      </c>
      <c r="B130" s="1138" t="s">
        <v>100</v>
      </c>
      <c r="C130" s="1139" t="s">
        <v>15</v>
      </c>
      <c r="D130" s="1140">
        <v>9</v>
      </c>
      <c r="E130" s="1439"/>
      <c r="F130" s="1440"/>
      <c r="G130" s="1143"/>
    </row>
    <row r="131" spans="1:7" ht="25.5" x14ac:dyDescent="0.25">
      <c r="A131" s="1137">
        <v>10.6</v>
      </c>
      <c r="B131" s="1138" t="s">
        <v>101</v>
      </c>
      <c r="C131" s="1139" t="s">
        <v>352</v>
      </c>
      <c r="D131" s="1140">
        <v>1466.6</v>
      </c>
      <c r="E131" s="1446"/>
      <c r="F131" s="1440"/>
      <c r="G131" s="1143"/>
    </row>
    <row r="132" spans="1:7" ht="25.5" x14ac:dyDescent="0.25">
      <c r="A132" s="1137">
        <v>10.7</v>
      </c>
      <c r="B132" s="1138" t="s">
        <v>465</v>
      </c>
      <c r="C132" s="1139" t="s">
        <v>16</v>
      </c>
      <c r="D132" s="1140">
        <v>136</v>
      </c>
      <c r="E132" s="1439"/>
      <c r="F132" s="1440"/>
      <c r="G132" s="1143"/>
    </row>
    <row r="133" spans="1:7" x14ac:dyDescent="0.25">
      <c r="A133" s="1146">
        <v>11</v>
      </c>
      <c r="B133" s="1171" t="s">
        <v>102</v>
      </c>
      <c r="C133" s="1172"/>
      <c r="D133" s="1149"/>
      <c r="E133" s="1441"/>
      <c r="F133" s="1442"/>
      <c r="G133" s="1143"/>
    </row>
    <row r="134" spans="1:7" x14ac:dyDescent="0.25">
      <c r="A134" s="1144">
        <v>11.1</v>
      </c>
      <c r="B134" s="1138" t="s">
        <v>544</v>
      </c>
      <c r="C134" s="1139" t="s">
        <v>15</v>
      </c>
      <c r="D134" s="1140">
        <v>12.9</v>
      </c>
      <c r="E134" s="1439"/>
      <c r="F134" s="1440"/>
      <c r="G134" s="1143"/>
    </row>
    <row r="135" spans="1:7" x14ac:dyDescent="0.25">
      <c r="A135" s="1144">
        <v>11.2</v>
      </c>
      <c r="B135" s="1138" t="s">
        <v>545</v>
      </c>
      <c r="C135" s="1139" t="s">
        <v>15</v>
      </c>
      <c r="D135" s="1140">
        <v>499.6</v>
      </c>
      <c r="E135" s="1439"/>
      <c r="F135" s="1440"/>
      <c r="G135" s="1143"/>
    </row>
    <row r="136" spans="1:7" ht="25.5" x14ac:dyDescent="0.25">
      <c r="A136" s="1137">
        <v>11.3</v>
      </c>
      <c r="B136" s="1138" t="s">
        <v>105</v>
      </c>
      <c r="C136" s="1139" t="s">
        <v>15</v>
      </c>
      <c r="D136" s="1140">
        <v>499.6</v>
      </c>
      <c r="E136" s="1439"/>
      <c r="F136" s="1440"/>
      <c r="G136" s="1143"/>
    </row>
    <row r="137" spans="1:7" ht="25.5" x14ac:dyDescent="0.25">
      <c r="A137" s="1137">
        <v>11.4</v>
      </c>
      <c r="B137" s="1138" t="s">
        <v>106</v>
      </c>
      <c r="C137" s="1139" t="s">
        <v>15</v>
      </c>
      <c r="D137" s="1140">
        <v>12.9</v>
      </c>
      <c r="E137" s="1439"/>
      <c r="F137" s="1440"/>
      <c r="G137" s="1143"/>
    </row>
    <row r="138" spans="1:7" hidden="1" x14ac:dyDescent="0.25">
      <c r="A138" s="1173">
        <v>12</v>
      </c>
      <c r="B138" s="1174" t="s">
        <v>350</v>
      </c>
      <c r="C138" s="1175"/>
      <c r="D138" s="1176"/>
      <c r="E138" s="1177"/>
      <c r="F138" s="1212">
        <f t="shared" ref="F138:F139" si="0">+ROUND(D138*E138,0)</f>
        <v>0</v>
      </c>
      <c r="G138" s="1143"/>
    </row>
    <row r="139" spans="1:7" hidden="1" x14ac:dyDescent="0.25">
      <c r="A139" s="1144">
        <v>12.1</v>
      </c>
      <c r="B139" s="1145" t="s">
        <v>351</v>
      </c>
      <c r="C139" s="1139" t="s">
        <v>79</v>
      </c>
      <c r="D139" s="1178">
        <v>1101</v>
      </c>
      <c r="E139" s="1141"/>
      <c r="F139" s="1212">
        <f t="shared" si="0"/>
        <v>0</v>
      </c>
      <c r="G139" s="1143"/>
    </row>
    <row r="140" spans="1:7" x14ac:dyDescent="0.25">
      <c r="A140" s="1227" t="s">
        <v>565</v>
      </c>
      <c r="B140" s="1228"/>
      <c r="C140" s="1228"/>
      <c r="D140" s="1228"/>
      <c r="E140" s="1229"/>
      <c r="F140" s="1443"/>
    </row>
    <row r="141" spans="1:7" x14ac:dyDescent="0.25">
      <c r="A141" s="1230" t="s">
        <v>567</v>
      </c>
      <c r="B141" s="1231"/>
      <c r="C141" s="1231"/>
      <c r="D141" s="1231"/>
      <c r="E141" s="1232"/>
      <c r="F141" s="1444"/>
    </row>
    <row r="142" spans="1:7" x14ac:dyDescent="0.25">
      <c r="A142" s="1230" t="s">
        <v>594</v>
      </c>
      <c r="B142" s="1231"/>
      <c r="C142" s="1231"/>
      <c r="D142" s="1231"/>
      <c r="E142" s="1232"/>
      <c r="F142" s="1444"/>
    </row>
    <row r="143" spans="1:7" x14ac:dyDescent="0.25">
      <c r="A143" s="1230" t="s">
        <v>593</v>
      </c>
      <c r="B143" s="1231"/>
      <c r="C143" s="1231"/>
      <c r="D143" s="1231"/>
      <c r="E143" s="1232"/>
      <c r="F143" s="1444"/>
    </row>
    <row r="144" spans="1:7" x14ac:dyDescent="0.25">
      <c r="A144" s="1230" t="s">
        <v>566</v>
      </c>
      <c r="B144" s="1231"/>
      <c r="C144" s="1231"/>
      <c r="D144" s="1231"/>
      <c r="E144" s="1232"/>
      <c r="F144" s="1444"/>
    </row>
    <row r="145" spans="1:6" x14ac:dyDescent="0.25">
      <c r="A145" s="1227" t="s">
        <v>599</v>
      </c>
      <c r="B145" s="1228"/>
      <c r="C145" s="1228"/>
      <c r="D145" s="1228"/>
      <c r="E145" s="1229"/>
      <c r="F145" s="1443"/>
    </row>
    <row r="146" spans="1:6" x14ac:dyDescent="0.25">
      <c r="A146" s="1235"/>
      <c r="B146" s="1236"/>
      <c r="C146" s="1236"/>
      <c r="D146" s="1236"/>
      <c r="E146" s="1236"/>
      <c r="F146" s="1236"/>
    </row>
    <row r="147" spans="1:6" ht="12.75" customHeight="1" x14ac:dyDescent="0.25">
      <c r="A147" s="1214" t="s">
        <v>596</v>
      </c>
      <c r="B147" s="1215"/>
      <c r="C147" s="1215"/>
      <c r="D147" s="1215"/>
      <c r="E147" s="1215"/>
      <c r="F147" s="1215"/>
    </row>
    <row r="148" spans="1:6" ht="25.5" x14ac:dyDescent="0.25">
      <c r="A148" s="1125" t="s">
        <v>43</v>
      </c>
      <c r="B148" s="1126" t="s">
        <v>1</v>
      </c>
      <c r="C148" s="1126" t="s">
        <v>2</v>
      </c>
      <c r="D148" s="1126" t="s">
        <v>3</v>
      </c>
      <c r="E148" s="1126" t="s">
        <v>4</v>
      </c>
      <c r="F148" s="1209" t="s">
        <v>5</v>
      </c>
    </row>
    <row r="149" spans="1:6" x14ac:dyDescent="0.25">
      <c r="A149" s="1179"/>
      <c r="B149" s="1147" t="s">
        <v>18</v>
      </c>
      <c r="C149" s="1148"/>
      <c r="D149" s="1149"/>
      <c r="E149" s="1150"/>
      <c r="F149" s="1213"/>
    </row>
    <row r="150" spans="1:6" ht="25.5" x14ac:dyDescent="0.25">
      <c r="A150" s="1155">
        <v>12</v>
      </c>
      <c r="B150" s="1147" t="s">
        <v>546</v>
      </c>
      <c r="C150" s="1148"/>
      <c r="D150" s="1149"/>
      <c r="E150" s="1150"/>
      <c r="F150" s="1213"/>
    </row>
    <row r="151" spans="1:6" x14ac:dyDescent="0.25">
      <c r="A151" s="1144">
        <f>A150+0.1</f>
        <v>12.1</v>
      </c>
      <c r="B151" s="1157" t="s">
        <v>547</v>
      </c>
      <c r="C151" s="1139" t="s">
        <v>7</v>
      </c>
      <c r="D151" s="1160">
        <v>15002</v>
      </c>
      <c r="E151" s="1439"/>
      <c r="F151" s="1440"/>
    </row>
    <row r="152" spans="1:6" x14ac:dyDescent="0.25">
      <c r="A152" s="1144">
        <f t="shared" ref="A152:A159" si="1">A151+0.1</f>
        <v>12.2</v>
      </c>
      <c r="B152" s="1157" t="s">
        <v>404</v>
      </c>
      <c r="C152" s="1139" t="s">
        <v>7</v>
      </c>
      <c r="D152" s="1160">
        <v>20898</v>
      </c>
      <c r="E152" s="1439"/>
      <c r="F152" s="1440"/>
    </row>
    <row r="153" spans="1:6" x14ac:dyDescent="0.25">
      <c r="A153" s="1144">
        <f t="shared" si="1"/>
        <v>12.299999999999999</v>
      </c>
      <c r="B153" s="1157" t="s">
        <v>405</v>
      </c>
      <c r="C153" s="1139" t="s">
        <v>7</v>
      </c>
      <c r="D153" s="1160">
        <v>4938</v>
      </c>
      <c r="E153" s="1439"/>
      <c r="F153" s="1440"/>
    </row>
    <row r="154" spans="1:6" x14ac:dyDescent="0.25">
      <c r="A154" s="1144">
        <f t="shared" si="1"/>
        <v>12.399999999999999</v>
      </c>
      <c r="B154" s="1157" t="s">
        <v>406</v>
      </c>
      <c r="C154" s="1139" t="s">
        <v>7</v>
      </c>
      <c r="D154" s="1160">
        <v>159</v>
      </c>
      <c r="E154" s="1439"/>
      <c r="F154" s="1440"/>
    </row>
    <row r="155" spans="1:6" x14ac:dyDescent="0.25">
      <c r="A155" s="1144">
        <f t="shared" si="1"/>
        <v>12.499999999999998</v>
      </c>
      <c r="B155" s="1157" t="s">
        <v>407</v>
      </c>
      <c r="C155" s="1139" t="s">
        <v>7</v>
      </c>
      <c r="D155" s="1160">
        <v>2349</v>
      </c>
      <c r="E155" s="1439"/>
      <c r="F155" s="1440"/>
    </row>
    <row r="156" spans="1:6" x14ac:dyDescent="0.25">
      <c r="A156" s="1144">
        <f t="shared" si="1"/>
        <v>12.599999999999998</v>
      </c>
      <c r="B156" s="1157" t="s">
        <v>548</v>
      </c>
      <c r="C156" s="1139" t="s">
        <v>79</v>
      </c>
      <c r="D156" s="1140">
        <v>60</v>
      </c>
      <c r="E156" s="1439"/>
      <c r="F156" s="1440"/>
    </row>
    <row r="157" spans="1:6" x14ac:dyDescent="0.25">
      <c r="A157" s="1144">
        <f t="shared" si="1"/>
        <v>12.699999999999998</v>
      </c>
      <c r="B157" s="1157" t="s">
        <v>549</v>
      </c>
      <c r="C157" s="1139" t="s">
        <v>79</v>
      </c>
      <c r="D157" s="1140">
        <v>220</v>
      </c>
      <c r="E157" s="1439"/>
      <c r="F157" s="1440"/>
    </row>
    <row r="158" spans="1:6" x14ac:dyDescent="0.25">
      <c r="A158" s="1144">
        <f t="shared" si="1"/>
        <v>12.799999999999997</v>
      </c>
      <c r="B158" s="1157" t="s">
        <v>550</v>
      </c>
      <c r="C158" s="1139" t="s">
        <v>79</v>
      </c>
      <c r="D158" s="1140">
        <v>10</v>
      </c>
      <c r="E158" s="1439"/>
      <c r="F158" s="1440"/>
    </row>
    <row r="159" spans="1:6" x14ac:dyDescent="0.25">
      <c r="A159" s="1144">
        <f t="shared" si="1"/>
        <v>12.899999999999997</v>
      </c>
      <c r="B159" s="1157" t="s">
        <v>551</v>
      </c>
      <c r="C159" s="1139" t="s">
        <v>79</v>
      </c>
      <c r="D159" s="1140">
        <v>2</v>
      </c>
      <c r="E159" s="1439"/>
      <c r="F159" s="1440"/>
    </row>
    <row r="160" spans="1:6" x14ac:dyDescent="0.25">
      <c r="A160" s="1161">
        <v>12.1</v>
      </c>
      <c r="B160" s="1157" t="s">
        <v>552</v>
      </c>
      <c r="C160" s="1139" t="s">
        <v>79</v>
      </c>
      <c r="D160" s="1140">
        <v>9</v>
      </c>
      <c r="E160" s="1439"/>
      <c r="F160" s="1440"/>
    </row>
    <row r="161" spans="1:6" x14ac:dyDescent="0.25">
      <c r="A161" s="1161">
        <v>12.11</v>
      </c>
      <c r="B161" s="1157" t="s">
        <v>553</v>
      </c>
      <c r="C161" s="1139" t="s">
        <v>79</v>
      </c>
      <c r="D161" s="1140">
        <v>59</v>
      </c>
      <c r="E161" s="1439"/>
      <c r="F161" s="1440"/>
    </row>
    <row r="162" spans="1:6" x14ac:dyDescent="0.25">
      <c r="A162" s="1161">
        <v>12.12</v>
      </c>
      <c r="B162" s="1157" t="s">
        <v>554</v>
      </c>
      <c r="C162" s="1139" t="s">
        <v>79</v>
      </c>
      <c r="D162" s="1140">
        <v>12</v>
      </c>
      <c r="E162" s="1439"/>
      <c r="F162" s="1440"/>
    </row>
    <row r="163" spans="1:6" x14ac:dyDescent="0.25">
      <c r="A163" s="1161">
        <v>12.13</v>
      </c>
      <c r="B163" s="1157" t="s">
        <v>555</v>
      </c>
      <c r="C163" s="1139" t="s">
        <v>79</v>
      </c>
      <c r="D163" s="1140">
        <v>50</v>
      </c>
      <c r="E163" s="1439"/>
      <c r="F163" s="1440"/>
    </row>
    <row r="164" spans="1:6" x14ac:dyDescent="0.25">
      <c r="A164" s="1161">
        <v>12.14</v>
      </c>
      <c r="B164" s="1157" t="s">
        <v>556</v>
      </c>
      <c r="C164" s="1139" t="s">
        <v>79</v>
      </c>
      <c r="D164" s="1140">
        <v>180</v>
      </c>
      <c r="E164" s="1439"/>
      <c r="F164" s="1440"/>
    </row>
    <row r="165" spans="1:6" x14ac:dyDescent="0.25">
      <c r="A165" s="1161">
        <v>12.15</v>
      </c>
      <c r="B165" s="1157" t="s">
        <v>557</v>
      </c>
      <c r="C165" s="1139" t="s">
        <v>79</v>
      </c>
      <c r="D165" s="1140">
        <v>10</v>
      </c>
      <c r="E165" s="1439"/>
      <c r="F165" s="1440"/>
    </row>
    <row r="166" spans="1:6" x14ac:dyDescent="0.25">
      <c r="A166" s="1161">
        <v>12.16</v>
      </c>
      <c r="B166" s="1157" t="s">
        <v>558</v>
      </c>
      <c r="C166" s="1139" t="s">
        <v>79</v>
      </c>
      <c r="D166" s="1140">
        <v>24</v>
      </c>
      <c r="E166" s="1439"/>
      <c r="F166" s="1440"/>
    </row>
    <row r="167" spans="1:6" x14ac:dyDescent="0.25">
      <c r="A167" s="1161">
        <v>12.17</v>
      </c>
      <c r="B167" s="1157" t="s">
        <v>559</v>
      </c>
      <c r="C167" s="1139" t="s">
        <v>79</v>
      </c>
      <c r="D167" s="1140">
        <v>34</v>
      </c>
      <c r="E167" s="1439"/>
      <c r="F167" s="1440"/>
    </row>
    <row r="168" spans="1:6" x14ac:dyDescent="0.25">
      <c r="A168" s="1161">
        <v>12.18</v>
      </c>
      <c r="B168" s="1157" t="s">
        <v>560</v>
      </c>
      <c r="C168" s="1139" t="s">
        <v>79</v>
      </c>
      <c r="D168" s="1140">
        <v>18</v>
      </c>
      <c r="E168" s="1439"/>
      <c r="F168" s="1440"/>
    </row>
    <row r="169" spans="1:6" x14ac:dyDescent="0.25">
      <c r="A169" s="1161">
        <v>12.19</v>
      </c>
      <c r="B169" s="1157" t="s">
        <v>561</v>
      </c>
      <c r="C169" s="1139" t="s">
        <v>79</v>
      </c>
      <c r="D169" s="1140">
        <v>8</v>
      </c>
      <c r="E169" s="1439"/>
      <c r="F169" s="1440"/>
    </row>
    <row r="170" spans="1:6" x14ac:dyDescent="0.25">
      <c r="A170" s="1161">
        <v>12.2</v>
      </c>
      <c r="B170" s="1157" t="s">
        <v>562</v>
      </c>
      <c r="C170" s="1139" t="s">
        <v>79</v>
      </c>
      <c r="D170" s="1140">
        <v>1</v>
      </c>
      <c r="E170" s="1439"/>
      <c r="F170" s="1440"/>
    </row>
    <row r="171" spans="1:6" x14ac:dyDescent="0.25">
      <c r="A171" s="1161">
        <v>12.21</v>
      </c>
      <c r="B171" s="1157" t="s">
        <v>563</v>
      </c>
      <c r="C171" s="1139" t="s">
        <v>79</v>
      </c>
      <c r="D171" s="1140">
        <v>3</v>
      </c>
      <c r="E171" s="1439"/>
      <c r="F171" s="1440"/>
    </row>
    <row r="172" spans="1:6" x14ac:dyDescent="0.25">
      <c r="A172" s="1161">
        <v>12.22</v>
      </c>
      <c r="B172" s="1157" t="s">
        <v>564</v>
      </c>
      <c r="C172" s="1139" t="s">
        <v>79</v>
      </c>
      <c r="D172" s="1140">
        <v>3</v>
      </c>
      <c r="E172" s="1439"/>
      <c r="F172" s="1440"/>
    </row>
    <row r="173" spans="1:6" x14ac:dyDescent="0.25">
      <c r="A173" s="1161">
        <v>12.23</v>
      </c>
      <c r="B173" s="1157" t="s">
        <v>418</v>
      </c>
      <c r="C173" s="1139" t="s">
        <v>79</v>
      </c>
      <c r="D173" s="1140">
        <v>480</v>
      </c>
      <c r="E173" s="1439"/>
      <c r="F173" s="1440"/>
    </row>
    <row r="174" spans="1:6" x14ac:dyDescent="0.25">
      <c r="A174" s="1161">
        <v>12.24</v>
      </c>
      <c r="B174" s="1157" t="s">
        <v>419</v>
      </c>
      <c r="C174" s="1139" t="s">
        <v>79</v>
      </c>
      <c r="D174" s="1140">
        <v>138</v>
      </c>
      <c r="E174" s="1439"/>
      <c r="F174" s="1440"/>
    </row>
    <row r="175" spans="1:6" x14ac:dyDescent="0.25">
      <c r="A175" s="1161">
        <v>12.25</v>
      </c>
      <c r="B175" s="1157" t="s">
        <v>420</v>
      </c>
      <c r="C175" s="1139" t="s">
        <v>79</v>
      </c>
      <c r="D175" s="1140">
        <v>16</v>
      </c>
      <c r="E175" s="1439"/>
      <c r="F175" s="1440"/>
    </row>
    <row r="176" spans="1:6" x14ac:dyDescent="0.25">
      <c r="A176" s="1161">
        <v>12.26</v>
      </c>
      <c r="B176" s="1157" t="s">
        <v>421</v>
      </c>
      <c r="C176" s="1139" t="s">
        <v>79</v>
      </c>
      <c r="D176" s="1140">
        <v>2</v>
      </c>
      <c r="E176" s="1439"/>
      <c r="F176" s="1440"/>
    </row>
    <row r="177" spans="1:9" x14ac:dyDescent="0.25">
      <c r="A177" s="1161">
        <v>12.27</v>
      </c>
      <c r="B177" s="1157" t="s">
        <v>422</v>
      </c>
      <c r="C177" s="1139" t="s">
        <v>79</v>
      </c>
      <c r="D177" s="1140">
        <v>18</v>
      </c>
      <c r="E177" s="1439"/>
      <c r="F177" s="1440"/>
    </row>
    <row r="178" spans="1:9" ht="24" customHeight="1" x14ac:dyDescent="0.25">
      <c r="A178" s="1155">
        <v>13</v>
      </c>
      <c r="B178" s="1159" t="s">
        <v>423</v>
      </c>
      <c r="C178" s="1148"/>
      <c r="D178" s="1149"/>
      <c r="E178" s="1441"/>
      <c r="F178" s="1442"/>
    </row>
    <row r="179" spans="1:9" x14ac:dyDescent="0.25">
      <c r="A179" s="1137">
        <v>13.1</v>
      </c>
      <c r="B179" s="1157" t="s">
        <v>402</v>
      </c>
      <c r="C179" s="1139" t="s">
        <v>7</v>
      </c>
      <c r="D179" s="1140">
        <v>23805</v>
      </c>
      <c r="E179" s="1439"/>
      <c r="F179" s="1440"/>
    </row>
    <row r="180" spans="1:9" x14ac:dyDescent="0.25">
      <c r="A180" s="1144">
        <v>13.2</v>
      </c>
      <c r="B180" s="1157" t="s">
        <v>403</v>
      </c>
      <c r="C180" s="1139" t="s">
        <v>7</v>
      </c>
      <c r="D180" s="1140">
        <v>230</v>
      </c>
      <c r="E180" s="1439"/>
      <c r="F180" s="1440"/>
      <c r="I180" s="1181"/>
    </row>
    <row r="181" spans="1:9" x14ac:dyDescent="0.25">
      <c r="A181" s="1144">
        <v>13.3</v>
      </c>
      <c r="B181" s="1157" t="s">
        <v>424</v>
      </c>
      <c r="C181" s="1139" t="s">
        <v>79</v>
      </c>
      <c r="D181" s="1140">
        <v>1963</v>
      </c>
      <c r="E181" s="1439"/>
      <c r="F181" s="1440"/>
      <c r="I181" s="1181"/>
    </row>
    <row r="182" spans="1:9" x14ac:dyDescent="0.25">
      <c r="A182" s="1137">
        <v>13.4</v>
      </c>
      <c r="B182" s="1157" t="s">
        <v>426</v>
      </c>
      <c r="C182" s="1139" t="s">
        <v>79</v>
      </c>
      <c r="D182" s="1140">
        <v>10</v>
      </c>
      <c r="E182" s="1439"/>
      <c r="F182" s="1440"/>
      <c r="I182" s="1181"/>
    </row>
    <row r="183" spans="1:9" x14ac:dyDescent="0.25">
      <c r="A183" s="1144">
        <v>13.5</v>
      </c>
      <c r="B183" s="1157" t="s">
        <v>425</v>
      </c>
      <c r="C183" s="1139" t="s">
        <v>79</v>
      </c>
      <c r="D183" s="1140">
        <v>2725</v>
      </c>
      <c r="E183" s="1439"/>
      <c r="F183" s="1440"/>
      <c r="I183" s="1181"/>
    </row>
    <row r="184" spans="1:9" x14ac:dyDescent="0.25">
      <c r="A184" s="1144">
        <v>13.6</v>
      </c>
      <c r="B184" s="1157" t="s">
        <v>427</v>
      </c>
      <c r="C184" s="1139" t="s">
        <v>79</v>
      </c>
      <c r="D184" s="1140">
        <v>30</v>
      </c>
      <c r="E184" s="1439"/>
      <c r="F184" s="1440"/>
      <c r="I184" s="1181"/>
    </row>
    <row r="185" spans="1:9" x14ac:dyDescent="0.25">
      <c r="A185" s="1137">
        <v>13.7</v>
      </c>
      <c r="B185" s="1157" t="s">
        <v>428</v>
      </c>
      <c r="C185" s="1139" t="s">
        <v>79</v>
      </c>
      <c r="D185" s="1140">
        <v>331</v>
      </c>
      <c r="E185" s="1439"/>
      <c r="F185" s="1440"/>
      <c r="I185" s="1181"/>
    </row>
    <row r="186" spans="1:9" x14ac:dyDescent="0.25">
      <c r="A186" s="1144">
        <v>13.8</v>
      </c>
      <c r="B186" s="1157" t="s">
        <v>477</v>
      </c>
      <c r="C186" s="1139" t="s">
        <v>79</v>
      </c>
      <c r="D186" s="1140">
        <v>2480</v>
      </c>
      <c r="E186" s="1439"/>
      <c r="F186" s="1440"/>
      <c r="I186" s="1181"/>
    </row>
    <row r="187" spans="1:9" x14ac:dyDescent="0.25">
      <c r="A187" s="1144">
        <v>13.9</v>
      </c>
      <c r="B187" s="1157" t="s">
        <v>476</v>
      </c>
      <c r="C187" s="1139" t="s">
        <v>79</v>
      </c>
      <c r="D187" s="1140">
        <v>2480</v>
      </c>
      <c r="E187" s="1439"/>
      <c r="F187" s="1440"/>
      <c r="I187" s="1181"/>
    </row>
    <row r="188" spans="1:9" x14ac:dyDescent="0.25">
      <c r="A188" s="1161">
        <v>13.1</v>
      </c>
      <c r="B188" s="1157" t="s">
        <v>343</v>
      </c>
      <c r="C188" s="1139" t="s">
        <v>79</v>
      </c>
      <c r="D188" s="1140">
        <v>30</v>
      </c>
      <c r="E188" s="1439"/>
      <c r="F188" s="1440"/>
      <c r="I188" s="1181"/>
    </row>
    <row r="189" spans="1:9" x14ac:dyDescent="0.25">
      <c r="A189" s="1158">
        <v>13.11</v>
      </c>
      <c r="B189" s="1157" t="s">
        <v>344</v>
      </c>
      <c r="C189" s="1139" t="s">
        <v>79</v>
      </c>
      <c r="D189" s="1140">
        <v>1320</v>
      </c>
      <c r="E189" s="1439"/>
      <c r="F189" s="1440"/>
      <c r="I189" s="1181"/>
    </row>
    <row r="190" spans="1:9" x14ac:dyDescent="0.25">
      <c r="A190" s="1161">
        <v>13.12</v>
      </c>
      <c r="B190" s="1157" t="s">
        <v>345</v>
      </c>
      <c r="C190" s="1139" t="s">
        <v>79</v>
      </c>
      <c r="D190" s="1140">
        <v>3172</v>
      </c>
      <c r="E190" s="1439"/>
      <c r="F190" s="1440"/>
      <c r="I190" s="1181"/>
    </row>
    <row r="191" spans="1:9" x14ac:dyDescent="0.25">
      <c r="A191" s="1161">
        <v>13.14</v>
      </c>
      <c r="B191" s="1157" t="s">
        <v>346</v>
      </c>
      <c r="C191" s="1139" t="s">
        <v>79</v>
      </c>
      <c r="D191" s="1140">
        <v>3172</v>
      </c>
      <c r="E191" s="1439"/>
      <c r="F191" s="1440"/>
      <c r="I191" s="1181"/>
    </row>
    <row r="192" spans="1:9" x14ac:dyDescent="0.25">
      <c r="A192" s="1158">
        <v>13.15</v>
      </c>
      <c r="B192" s="1157" t="s">
        <v>347</v>
      </c>
      <c r="C192" s="1139" t="s">
        <v>79</v>
      </c>
      <c r="D192" s="1140">
        <v>4739</v>
      </c>
      <c r="E192" s="1439"/>
      <c r="F192" s="1440"/>
      <c r="I192" s="1181"/>
    </row>
    <row r="193" spans="1:9" x14ac:dyDescent="0.25">
      <c r="A193" s="1161">
        <v>13.16</v>
      </c>
      <c r="B193" s="1157" t="s">
        <v>348</v>
      </c>
      <c r="C193" s="1139" t="s">
        <v>79</v>
      </c>
      <c r="D193" s="1140">
        <v>4647</v>
      </c>
      <c r="E193" s="1439"/>
      <c r="F193" s="1440"/>
      <c r="I193" s="1181"/>
    </row>
    <row r="194" spans="1:9" ht="15" customHeight="1" x14ac:dyDescent="0.25">
      <c r="A194" s="1453" t="s">
        <v>568</v>
      </c>
      <c r="B194" s="1454"/>
      <c r="C194" s="1454"/>
      <c r="D194" s="1454"/>
      <c r="E194" s="1455"/>
      <c r="F194" s="1443"/>
      <c r="I194" s="1181"/>
    </row>
    <row r="195" spans="1:9" ht="15" customHeight="1" x14ac:dyDescent="0.25">
      <c r="A195" s="1456" t="s">
        <v>567</v>
      </c>
      <c r="B195" s="1457"/>
      <c r="C195" s="1457"/>
      <c r="D195" s="1457"/>
      <c r="E195" s="1458"/>
      <c r="F195" s="1444"/>
      <c r="G195" s="1142"/>
      <c r="I195" s="1181"/>
    </row>
    <row r="196" spans="1:9" ht="15" customHeight="1" x14ac:dyDescent="0.25">
      <c r="A196" s="1453" t="s">
        <v>598</v>
      </c>
      <c r="B196" s="1454"/>
      <c r="C196" s="1454"/>
      <c r="D196" s="1454"/>
      <c r="E196" s="1455"/>
      <c r="F196" s="1443"/>
      <c r="I196" s="1181"/>
    </row>
    <row r="197" spans="1:9" ht="15.75" customHeight="1" thickBot="1" x14ac:dyDescent="0.3">
      <c r="A197" s="1233"/>
      <c r="B197" s="1234"/>
      <c r="C197" s="1234"/>
      <c r="D197" s="1234"/>
      <c r="E197" s="1234"/>
      <c r="F197" s="1234"/>
      <c r="I197" s="1181"/>
    </row>
    <row r="198" spans="1:9" ht="15.75" customHeight="1" thickBot="1" x14ac:dyDescent="0.3">
      <c r="A198" s="1436" t="s">
        <v>597</v>
      </c>
      <c r="B198" s="1437"/>
      <c r="C198" s="1437"/>
      <c r="D198" s="1437"/>
      <c r="E198" s="1438"/>
      <c r="F198" s="1445"/>
      <c r="I198" s="1181"/>
    </row>
    <row r="199" spans="1:9" hidden="1" x14ac:dyDescent="0.25"/>
    <row r="200" spans="1:9" hidden="1" x14ac:dyDescent="0.25"/>
    <row r="201" spans="1:9" hidden="1" x14ac:dyDescent="0.25"/>
    <row r="202" spans="1:9" hidden="1" x14ac:dyDescent="0.25"/>
    <row r="203" spans="1:9" hidden="1" x14ac:dyDescent="0.25">
      <c r="A203" s="1185" t="e">
        <f>+#REF!</f>
        <v>#REF!</v>
      </c>
      <c r="B203" s="1185" t="e">
        <f>+#REF!</f>
        <v>#REF!</v>
      </c>
      <c r="C203" s="1186"/>
      <c r="F203" s="1187" t="e">
        <f>SUM(#REF!)</f>
        <v>#REF!</v>
      </c>
    </row>
    <row r="204" spans="1:9" hidden="1" x14ac:dyDescent="0.25">
      <c r="A204" s="1185">
        <f>+A7</f>
        <v>1</v>
      </c>
      <c r="B204" s="1185" t="str">
        <f>+B7</f>
        <v>DEMOLICIÓN</v>
      </c>
      <c r="F204" s="1187">
        <f>+SUM(F8:F11)</f>
        <v>0</v>
      </c>
    </row>
    <row r="205" spans="1:9" hidden="1" x14ac:dyDescent="0.25">
      <c r="A205" s="1185" t="e">
        <f>+#REF!</f>
        <v>#REF!</v>
      </c>
      <c r="B205" s="1185" t="e">
        <f>+#REF!</f>
        <v>#REF!</v>
      </c>
      <c r="F205" s="1187" t="e">
        <f>++SUM(#REF!)</f>
        <v>#REF!</v>
      </c>
    </row>
    <row r="206" spans="1:9" hidden="1" x14ac:dyDescent="0.25">
      <c r="A206" s="1185">
        <f>+A17</f>
        <v>3</v>
      </c>
      <c r="B206" s="1185" t="str">
        <f>+B17</f>
        <v>Suministro, transporte y colocación (S.T.C.) de Lleno y compactación de material de préstamo o de excavación para zanjas y apiques, incluye compactación manual o mecánica con equipo compactador, realizado con capas horizontales con espesor no &gt; 0,2m</v>
      </c>
      <c r="F206" s="1187">
        <f>++SUM(F18:F22)</f>
        <v>0</v>
      </c>
    </row>
    <row r="207" spans="1:9" ht="23.25" hidden="1" customHeight="1" x14ac:dyDescent="0.25">
      <c r="A207" s="1185">
        <f>+A24</f>
        <v>4</v>
      </c>
      <c r="B207" s="1186" t="str">
        <f>+B24</f>
        <v>DISPOSICIÓN DE MATERIALES SOBRANTES</v>
      </c>
      <c r="F207" s="1187">
        <f>++SUM(F25:F25)</f>
        <v>0</v>
      </c>
    </row>
    <row r="208" spans="1:9" hidden="1" x14ac:dyDescent="0.25">
      <c r="A208" s="1185">
        <f>+A26</f>
        <v>5</v>
      </c>
      <c r="B208" s="1185" t="str">
        <f>+B26</f>
        <v xml:space="preserve">RECONSTRUCCIÓN DE ANDENES EN CONCRETO, CON Y SIN ESCALAS, ARENÓN O VITRIFICADO.           </v>
      </c>
      <c r="F208" s="1187">
        <f>++SUM(F27)</f>
        <v>0</v>
      </c>
    </row>
    <row r="209" spans="1:6" hidden="1" x14ac:dyDescent="0.25">
      <c r="A209" s="1185">
        <f>+A32</f>
        <v>6</v>
      </c>
      <c r="B209" s="1185" t="str">
        <f>+B32</f>
        <v>TRANSPORTE Y COLOCACIÓN DE TUBERÍA Y ACCESORIOS PARA ACUEDUCTO PEAD</v>
      </c>
      <c r="F209" s="1187">
        <f>++SUM(F33:F61)</f>
        <v>0</v>
      </c>
    </row>
    <row r="210" spans="1:6" hidden="1" x14ac:dyDescent="0.25">
      <c r="A210" s="1185">
        <f>+A62</f>
        <v>7</v>
      </c>
      <c r="B210" s="1185" t="str">
        <f>+B62</f>
        <v>TRANSPORTE Y COLOCACIÓN DE ACCESORIO PARA ACOMETIDAS</v>
      </c>
      <c r="F210" s="1187">
        <f>++SUM(F63:F64)</f>
        <v>0</v>
      </c>
    </row>
    <row r="211" spans="1:6" hidden="1" x14ac:dyDescent="0.25">
      <c r="A211" s="1185">
        <f>+A71</f>
        <v>7.9</v>
      </c>
      <c r="B211" s="1185" t="str">
        <f>+B71</f>
        <v xml:space="preserve">Adaptador polietileno hembra o macho  25mm </v>
      </c>
      <c r="F211" s="1187">
        <f>++SUM(F72:F73)</f>
        <v>0</v>
      </c>
    </row>
    <row r="212" spans="1:6" hidden="1" x14ac:dyDescent="0.25">
      <c r="A212" s="1185">
        <f>+A74</f>
        <v>7.12</v>
      </c>
      <c r="B212" s="1185" t="str">
        <f>+B74</f>
        <v>S.T.C. de Medidor para acometida de acueducto de 15 mm (1/2”), de diametro, chorro único, transmision mecanica, clase metrológica C. ó su equivalente en version 2007 de la norma (Qp: 2,5 m3/h), incluye  la instalación de las pitorras para la correcta conexión a la intradomiciliar  y niple</v>
      </c>
      <c r="F212" s="1187">
        <f>++SUM(F75:F76)</f>
        <v>0</v>
      </c>
    </row>
    <row r="213" spans="1:6" hidden="1" x14ac:dyDescent="0.25">
      <c r="A213" s="1185">
        <f>+A77</f>
        <v>7.15</v>
      </c>
      <c r="B213" s="1185" t="str">
        <f>+B77</f>
        <v>Codo liso pvc  1/2"X90° presión</v>
      </c>
      <c r="F213" s="1187" t="e">
        <f>++SUM(#REF!)</f>
        <v>#REF!</v>
      </c>
    </row>
    <row r="214" spans="1:6" hidden="1" x14ac:dyDescent="0.25">
      <c r="A214" s="1185" t="str">
        <f>+A128</f>
        <v>10.3</v>
      </c>
      <c r="B214" s="1185" t="str">
        <f>+B128</f>
        <v>Construccion de caja para Válvula (Incluye: Ladrillo macizo de 10x20x40, Tubería Sanitaria a Ø6", Adaptador de Limpieza a Ø6", concreto para marco y tapa) según Norma EPM esquema 1, especificación 707,</v>
      </c>
      <c r="F214" s="1187">
        <f>+F129</f>
        <v>0</v>
      </c>
    </row>
    <row r="215" spans="1:6" hidden="1" x14ac:dyDescent="0.25">
      <c r="A215" s="1185">
        <f>+A130</f>
        <v>10.5</v>
      </c>
      <c r="B215" s="1185" t="str">
        <f>+B130</f>
        <v>S.T.C. de Concreto f`c=21Mpa para apoyo de accesorios</v>
      </c>
      <c r="F215" s="1187">
        <f>+F131</f>
        <v>0</v>
      </c>
    </row>
    <row r="216" spans="1:6" hidden="1" x14ac:dyDescent="0.25">
      <c r="A216" s="1185" t="e">
        <f>+#REF!</f>
        <v>#REF!</v>
      </c>
      <c r="B216" s="1185" t="e">
        <f>+#REF!</f>
        <v>#REF!</v>
      </c>
      <c r="F216" s="1187" t="e">
        <f>+#REF!</f>
        <v>#REF!</v>
      </c>
    </row>
    <row r="217" spans="1:6" hidden="1" x14ac:dyDescent="0.25">
      <c r="A217" s="1185">
        <f>+A133</f>
        <v>11</v>
      </c>
      <c r="B217" s="1185" t="str">
        <f>+B133</f>
        <v>PAVIMENTO</v>
      </c>
      <c r="F217" s="1187">
        <f>++SUM(F134:F139)</f>
        <v>0</v>
      </c>
    </row>
    <row r="218" spans="1:6" hidden="1" x14ac:dyDescent="0.25">
      <c r="A218" s="1185" t="e">
        <f>+#REF!</f>
        <v>#REF!</v>
      </c>
      <c r="B218" s="1185" t="e">
        <f>+#REF!</f>
        <v>#REF!</v>
      </c>
      <c r="F218" s="1187" t="e">
        <f>++SUM(#REF!)</f>
        <v>#REF!</v>
      </c>
    </row>
    <row r="219" spans="1:6" hidden="1" x14ac:dyDescent="0.25">
      <c r="A219" s="1185" t="e">
        <f>+#REF!</f>
        <v>#REF!</v>
      </c>
      <c r="B219" s="1185" t="e">
        <f>+#REF!</f>
        <v>#REF!</v>
      </c>
      <c r="F219" s="1187" t="e">
        <f>#REF!</f>
        <v>#REF!</v>
      </c>
    </row>
    <row r="220" spans="1:6" hidden="1" x14ac:dyDescent="0.25">
      <c r="A220" s="1185" t="e">
        <f>+#REF!</f>
        <v>#REF!</v>
      </c>
      <c r="B220" s="1185" t="e">
        <f>+#REF!</f>
        <v>#REF!</v>
      </c>
      <c r="F220" s="1187" t="e">
        <f>+SUM(#REF!)</f>
        <v>#REF!</v>
      </c>
    </row>
    <row r="221" spans="1:6" hidden="1" x14ac:dyDescent="0.25">
      <c r="A221" s="1185" t="e">
        <f>+#REF!</f>
        <v>#REF!</v>
      </c>
      <c r="B221" s="1185" t="e">
        <f>+#REF!</f>
        <v>#REF!</v>
      </c>
      <c r="F221" s="1187" t="e">
        <f>+SUM(#REF!)</f>
        <v>#REF!</v>
      </c>
    </row>
    <row r="222" spans="1:6" hidden="1" x14ac:dyDescent="0.25">
      <c r="A222" s="1185" t="e">
        <f>+#REF!</f>
        <v>#REF!</v>
      </c>
      <c r="B222" s="1185" t="e">
        <f>+#REF!</f>
        <v>#REF!</v>
      </c>
      <c r="F222" s="1187" t="e">
        <f>+#REF!</f>
        <v>#REF!</v>
      </c>
    </row>
    <row r="223" spans="1:6" hidden="1" x14ac:dyDescent="0.25">
      <c r="A223" s="1185" t="e">
        <f>+#REF!</f>
        <v>#REF!</v>
      </c>
      <c r="B223" s="1185" t="e">
        <f>+#REF!</f>
        <v>#REF!</v>
      </c>
      <c r="F223" s="1187" t="e">
        <f>+SUM(#REF!)</f>
        <v>#REF!</v>
      </c>
    </row>
    <row r="224" spans="1:6" hidden="1" x14ac:dyDescent="0.25">
      <c r="A224" s="1185"/>
      <c r="B224" s="1185"/>
      <c r="F224" s="1187"/>
    </row>
    <row r="225" spans="2:6" hidden="1" x14ac:dyDescent="0.25"/>
    <row r="226" spans="2:6" hidden="1" x14ac:dyDescent="0.25">
      <c r="F226" s="1188" t="e">
        <f>+#REF!</f>
        <v>#REF!</v>
      </c>
    </row>
    <row r="227" spans="2:6" hidden="1" x14ac:dyDescent="0.25">
      <c r="B227" s="1182" t="s">
        <v>32</v>
      </c>
      <c r="D227" s="1189" t="e">
        <f>+SUM(#REF!)</f>
        <v>#REF!</v>
      </c>
      <c r="F227" s="1190" t="e">
        <f>+F226/D227</f>
        <v>#REF!</v>
      </c>
    </row>
    <row r="228" spans="2:6" hidden="1" x14ac:dyDescent="0.25">
      <c r="B228" s="1182" t="s">
        <v>33</v>
      </c>
      <c r="D228" s="1189" t="e">
        <f>+SUM(#REF!)</f>
        <v>#REF!</v>
      </c>
      <c r="F228" s="1190" t="e">
        <f>+F226/D228</f>
        <v>#REF!</v>
      </c>
    </row>
    <row r="229" spans="2:6" hidden="1" x14ac:dyDescent="0.25"/>
    <row r="230" spans="2:6" hidden="1" x14ac:dyDescent="0.25"/>
    <row r="231" spans="2:6" hidden="1" x14ac:dyDescent="0.25">
      <c r="C231" s="1191"/>
      <c r="D231" s="1192"/>
      <c r="E231" s="1191"/>
      <c r="F231" s="1193">
        <f>+E188</f>
        <v>0</v>
      </c>
    </row>
    <row r="232" spans="2:6" hidden="1" x14ac:dyDescent="0.25">
      <c r="C232" s="1191" t="s">
        <v>34</v>
      </c>
      <c r="D232" s="1192"/>
      <c r="E232" s="1194">
        <v>0.2</v>
      </c>
      <c r="F232" s="1195">
        <f>+$E232*F$231</f>
        <v>0</v>
      </c>
    </row>
    <row r="233" spans="2:6" hidden="1" x14ac:dyDescent="0.25">
      <c r="C233" s="1191" t="s">
        <v>35</v>
      </c>
      <c r="D233" s="1192"/>
      <c r="E233" s="1194">
        <v>0.05</v>
      </c>
      <c r="F233" s="1193">
        <f>+$E233*F$231</f>
        <v>0</v>
      </c>
    </row>
    <row r="234" spans="2:6" hidden="1" x14ac:dyDescent="0.25">
      <c r="F234" s="1195" t="e">
        <f>+F233+F237</f>
        <v>#REF!</v>
      </c>
    </row>
    <row r="235" spans="2:6" hidden="1" x14ac:dyDescent="0.25">
      <c r="C235" s="1191" t="s">
        <v>20</v>
      </c>
      <c r="D235" s="1192"/>
      <c r="E235" s="1194">
        <v>0.65</v>
      </c>
      <c r="F235" s="1195">
        <f>+$E235*F$231</f>
        <v>0</v>
      </c>
    </row>
    <row r="236" spans="2:6" hidden="1" x14ac:dyDescent="0.25">
      <c r="C236" s="1183" t="s">
        <v>36</v>
      </c>
      <c r="D236" s="1192"/>
      <c r="E236" s="1194">
        <v>0.1</v>
      </c>
      <c r="F236" s="1195">
        <f>+$E236*F$231</f>
        <v>0</v>
      </c>
    </row>
    <row r="237" spans="2:6" hidden="1" x14ac:dyDescent="0.25">
      <c r="C237" s="1191" t="s">
        <v>42</v>
      </c>
      <c r="D237" s="1192"/>
      <c r="E237" s="1191"/>
      <c r="F237" s="1193" t="e">
        <f>+#REF!+E195</f>
        <v>#REF!</v>
      </c>
    </row>
    <row r="238" spans="2:6" hidden="1" x14ac:dyDescent="0.25">
      <c r="C238" s="1191"/>
      <c r="D238" s="1192"/>
      <c r="E238" s="1196"/>
      <c r="F238" s="1195" t="e">
        <f>+F232+F234+F235+F236</f>
        <v>#REF!</v>
      </c>
    </row>
    <row r="239" spans="2:6" hidden="1" x14ac:dyDescent="0.25">
      <c r="F239" s="1197">
        <v>4439</v>
      </c>
    </row>
    <row r="240" spans="2:6" hidden="1" x14ac:dyDescent="0.25">
      <c r="D240" s="1198"/>
      <c r="E240" s="1199"/>
      <c r="F240" s="1200" t="e">
        <f>+F238/F239</f>
        <v>#REF!</v>
      </c>
    </row>
    <row r="241" spans="1:6" hidden="1" x14ac:dyDescent="0.25">
      <c r="D241" s="1198"/>
      <c r="E241" s="1199"/>
      <c r="F241" s="1197">
        <v>17200</v>
      </c>
    </row>
    <row r="242" spans="1:6" hidden="1" x14ac:dyDescent="0.25">
      <c r="F242" s="1201" t="e">
        <f>+#REF!+#REF!</f>
        <v>#REF!</v>
      </c>
    </row>
    <row r="243" spans="1:6" hidden="1" x14ac:dyDescent="0.25">
      <c r="C243" s="1183" t="s">
        <v>44</v>
      </c>
      <c r="D243" s="1184" t="s">
        <v>45</v>
      </c>
      <c r="E243" s="1183" t="s">
        <v>50</v>
      </c>
    </row>
    <row r="244" spans="1:6" hidden="1" x14ac:dyDescent="0.25">
      <c r="C244" s="1183">
        <v>17</v>
      </c>
      <c r="D244" s="1184">
        <v>22</v>
      </c>
      <c r="E244" s="1190">
        <f>+E188</f>
        <v>0</v>
      </c>
    </row>
    <row r="245" spans="1:6" hidden="1" x14ac:dyDescent="0.25">
      <c r="A245" s="1182">
        <v>18</v>
      </c>
      <c r="B245" s="1182" t="s">
        <v>46</v>
      </c>
      <c r="C245" s="1202">
        <f t="shared" ref="C245:E248" si="2">+C244/$A245</f>
        <v>0.94444444444444442</v>
      </c>
      <c r="D245" s="1202">
        <f t="shared" si="2"/>
        <v>1.2222222222222223</v>
      </c>
      <c r="E245" s="1190">
        <f t="shared" si="2"/>
        <v>0</v>
      </c>
    </row>
    <row r="246" spans="1:6" hidden="1" x14ac:dyDescent="0.25">
      <c r="A246" s="1182">
        <v>4</v>
      </c>
      <c r="B246" s="1182" t="s">
        <v>47</v>
      </c>
      <c r="C246" s="1202">
        <f t="shared" si="2"/>
        <v>0.2361111111111111</v>
      </c>
      <c r="D246" s="1202">
        <f t="shared" si="2"/>
        <v>0.30555555555555558</v>
      </c>
      <c r="E246" s="1190">
        <f t="shared" si="2"/>
        <v>0</v>
      </c>
    </row>
    <row r="247" spans="1:6" hidden="1" x14ac:dyDescent="0.25">
      <c r="A247" s="1182">
        <v>3</v>
      </c>
      <c r="B247" s="1182" t="s">
        <v>48</v>
      </c>
      <c r="C247" s="1202">
        <f t="shared" si="2"/>
        <v>7.8703703703703706E-2</v>
      </c>
      <c r="D247" s="1202">
        <f t="shared" si="2"/>
        <v>0.10185185185185186</v>
      </c>
      <c r="E247" s="1190">
        <f t="shared" si="2"/>
        <v>0</v>
      </c>
    </row>
    <row r="248" spans="1:6" hidden="1" x14ac:dyDescent="0.25">
      <c r="A248" s="1182">
        <v>5</v>
      </c>
      <c r="B248" s="1182" t="s">
        <v>49</v>
      </c>
      <c r="C248" s="1202">
        <f t="shared" si="2"/>
        <v>1.5740740740740743E-2</v>
      </c>
      <c r="D248" s="1202">
        <f t="shared" si="2"/>
        <v>2.0370370370370372E-2</v>
      </c>
      <c r="E248" s="1190">
        <f t="shared" si="2"/>
        <v>0</v>
      </c>
    </row>
    <row r="249" spans="1:6" hidden="1" x14ac:dyDescent="0.25"/>
    <row r="250" spans="1:6" hidden="1" x14ac:dyDescent="0.25">
      <c r="C250" s="1183" t="s">
        <v>44</v>
      </c>
      <c r="D250" s="1184" t="s">
        <v>45</v>
      </c>
      <c r="E250" s="1183" t="s">
        <v>50</v>
      </c>
    </row>
    <row r="251" spans="1:6" hidden="1" x14ac:dyDescent="0.25">
      <c r="C251" s="1183">
        <v>17</v>
      </c>
      <c r="D251" s="1184">
        <v>22</v>
      </c>
      <c r="E251" s="1190">
        <f>+E244</f>
        <v>0</v>
      </c>
    </row>
    <row r="252" spans="1:6" hidden="1" x14ac:dyDescent="0.25">
      <c r="A252" s="1182">
        <v>20</v>
      </c>
      <c r="B252" s="1182" t="s">
        <v>46</v>
      </c>
      <c r="C252" s="1202">
        <f t="shared" ref="C252:E255" si="3">+C251/$A252</f>
        <v>0.85</v>
      </c>
      <c r="D252" s="1202">
        <f t="shared" si="3"/>
        <v>1.1000000000000001</v>
      </c>
      <c r="E252" s="1190">
        <f t="shared" si="3"/>
        <v>0</v>
      </c>
    </row>
    <row r="253" spans="1:6" hidden="1" x14ac:dyDescent="0.25">
      <c r="A253" s="1182">
        <v>4</v>
      </c>
      <c r="B253" s="1182" t="s">
        <v>47</v>
      </c>
      <c r="C253" s="1202">
        <f t="shared" si="3"/>
        <v>0.21249999999999999</v>
      </c>
      <c r="D253" s="1202">
        <f t="shared" si="3"/>
        <v>0.27500000000000002</v>
      </c>
      <c r="E253" s="1190">
        <f t="shared" si="3"/>
        <v>0</v>
      </c>
    </row>
    <row r="254" spans="1:6" hidden="1" x14ac:dyDescent="0.25">
      <c r="A254" s="1182">
        <v>3</v>
      </c>
      <c r="B254" s="1182" t="s">
        <v>48</v>
      </c>
      <c r="C254" s="1202">
        <f t="shared" si="3"/>
        <v>7.0833333333333331E-2</v>
      </c>
      <c r="D254" s="1202">
        <f t="shared" si="3"/>
        <v>9.1666666666666674E-2</v>
      </c>
      <c r="E254" s="1190">
        <f t="shared" si="3"/>
        <v>0</v>
      </c>
    </row>
    <row r="255" spans="1:6" hidden="1" x14ac:dyDescent="0.25">
      <c r="A255" s="1182">
        <v>5</v>
      </c>
      <c r="B255" s="1182" t="s">
        <v>49</v>
      </c>
      <c r="C255" s="1202">
        <f t="shared" si="3"/>
        <v>1.4166666666666666E-2</v>
      </c>
      <c r="D255" s="1202">
        <f t="shared" si="3"/>
        <v>1.8333333333333333E-2</v>
      </c>
      <c r="E255" s="1190">
        <f t="shared" si="3"/>
        <v>0</v>
      </c>
    </row>
    <row r="256" spans="1:6" hidden="1" x14ac:dyDescent="0.25"/>
    <row r="257" spans="1:9" hidden="1" x14ac:dyDescent="0.25">
      <c r="C257" s="1183" t="s">
        <v>44</v>
      </c>
      <c r="D257" s="1184" t="s">
        <v>45</v>
      </c>
      <c r="E257" s="1183" t="s">
        <v>50</v>
      </c>
    </row>
    <row r="258" spans="1:9" hidden="1" x14ac:dyDescent="0.25">
      <c r="C258" s="1183">
        <v>17</v>
      </c>
      <c r="D258" s="1184">
        <v>22</v>
      </c>
      <c r="E258" s="1190">
        <f>+E251</f>
        <v>0</v>
      </c>
    </row>
    <row r="259" spans="1:9" hidden="1" x14ac:dyDescent="0.25">
      <c r="A259" s="1182">
        <v>24</v>
      </c>
      <c r="B259" s="1182" t="s">
        <v>46</v>
      </c>
      <c r="C259" s="1202">
        <f t="shared" ref="C259:E262" si="4">+C258/$A259</f>
        <v>0.70833333333333337</v>
      </c>
      <c r="D259" s="1202">
        <f t="shared" si="4"/>
        <v>0.91666666666666663</v>
      </c>
      <c r="E259" s="1190">
        <f t="shared" si="4"/>
        <v>0</v>
      </c>
    </row>
    <row r="260" spans="1:9" hidden="1" x14ac:dyDescent="0.25">
      <c r="A260" s="1182">
        <v>4</v>
      </c>
      <c r="B260" s="1182" t="s">
        <v>47</v>
      </c>
      <c r="C260" s="1202">
        <f t="shared" si="4"/>
        <v>0.17708333333333334</v>
      </c>
      <c r="D260" s="1202">
        <f t="shared" si="4"/>
        <v>0.22916666666666666</v>
      </c>
      <c r="E260" s="1190">
        <f t="shared" si="4"/>
        <v>0</v>
      </c>
    </row>
    <row r="261" spans="1:9" hidden="1" x14ac:dyDescent="0.25">
      <c r="A261" s="1182">
        <v>3</v>
      </c>
      <c r="B261" s="1182" t="s">
        <v>48</v>
      </c>
      <c r="C261" s="1202">
        <f t="shared" si="4"/>
        <v>5.9027777777777783E-2</v>
      </c>
      <c r="D261" s="1202">
        <f t="shared" si="4"/>
        <v>7.6388888888888881E-2</v>
      </c>
      <c r="E261" s="1190">
        <f t="shared" si="4"/>
        <v>0</v>
      </c>
    </row>
    <row r="262" spans="1:9" hidden="1" x14ac:dyDescent="0.25">
      <c r="A262" s="1182">
        <v>5</v>
      </c>
      <c r="B262" s="1182" t="s">
        <v>49</v>
      </c>
      <c r="C262" s="1202">
        <f t="shared" si="4"/>
        <v>1.1805555555555557E-2</v>
      </c>
      <c r="D262" s="1202">
        <f t="shared" si="4"/>
        <v>1.5277777777777776E-2</v>
      </c>
      <c r="E262" s="1190">
        <f t="shared" si="4"/>
        <v>0</v>
      </c>
    </row>
    <row r="263" spans="1:9" hidden="1" x14ac:dyDescent="0.25"/>
    <row r="264" spans="1:9" hidden="1" x14ac:dyDescent="0.25"/>
    <row r="265" spans="1:9" x14ac:dyDescent="0.25">
      <c r="E265" s="1203"/>
      <c r="F265" s="1188"/>
      <c r="G265" s="1142"/>
      <c r="I265" s="1142"/>
    </row>
    <row r="266" spans="1:9" x14ac:dyDescent="0.25">
      <c r="E266" s="1226"/>
      <c r="F266" s="1226"/>
      <c r="G266" s="1226"/>
      <c r="H266" s="1226"/>
      <c r="I266" s="1142"/>
    </row>
    <row r="267" spans="1:9" x14ac:dyDescent="0.25">
      <c r="A267" s="1124"/>
      <c r="B267" s="1124"/>
      <c r="E267" s="1204"/>
      <c r="F267" s="1205"/>
      <c r="G267" s="1180"/>
    </row>
    <row r="268" spans="1:9" x14ac:dyDescent="0.25">
      <c r="A268" s="1124"/>
      <c r="B268" s="1124"/>
      <c r="F268" s="1206"/>
    </row>
    <row r="269" spans="1:9" x14ac:dyDescent="0.25">
      <c r="A269" s="1124"/>
      <c r="B269" s="1124"/>
      <c r="F269" s="1206"/>
    </row>
    <row r="270" spans="1:9" x14ac:dyDescent="0.25">
      <c r="F270" s="1206"/>
    </row>
    <row r="271" spans="1:9" x14ac:dyDescent="0.25">
      <c r="F271" s="1206"/>
    </row>
  </sheetData>
  <sheetProtection algorithmName="SHA-512" hashValue="S+/BFaXpIwcHbGjlk+O923fgwjieCuzVj45iTukvqrZO5CHw/vu2zv+3xAR8DCECj6vPNsKWwA5IepkvEGjeng==" saltValue="ReTg7syJWbmekbcuuBE6WQ==" spinCount="100000" sheet="1" objects="1" scenarios="1"/>
  <mergeCells count="33">
    <mergeCell ref="A1:F1"/>
    <mergeCell ref="G266:H266"/>
    <mergeCell ref="E266:F266"/>
    <mergeCell ref="A140:E140"/>
    <mergeCell ref="A141:E141"/>
    <mergeCell ref="A195:E195"/>
    <mergeCell ref="A196:E196"/>
    <mergeCell ref="A197:F197"/>
    <mergeCell ref="A198:E198"/>
    <mergeCell ref="A144:E144"/>
    <mergeCell ref="A145:E145"/>
    <mergeCell ref="A146:F146"/>
    <mergeCell ref="A194:E194"/>
    <mergeCell ref="A2:F3"/>
    <mergeCell ref="A4:F4"/>
    <mergeCell ref="C101:C116"/>
    <mergeCell ref="D101:D116"/>
    <mergeCell ref="E101:E116"/>
    <mergeCell ref="F101:F116"/>
    <mergeCell ref="A101:A116"/>
    <mergeCell ref="C97:C98"/>
    <mergeCell ref="D97:D98"/>
    <mergeCell ref="E97:E98"/>
    <mergeCell ref="F97:F98"/>
    <mergeCell ref="A97:A98"/>
    <mergeCell ref="A147:F147"/>
    <mergeCell ref="A117:A124"/>
    <mergeCell ref="C117:C124"/>
    <mergeCell ref="D117:D124"/>
    <mergeCell ref="E117:E124"/>
    <mergeCell ref="F117:F124"/>
    <mergeCell ref="A142:E142"/>
    <mergeCell ref="A143:E143"/>
  </mergeCells>
  <pageMargins left="0.23622047244094491" right="0.23622047244094491" top="0.74803149606299213" bottom="0.74803149606299213" header="0.31496062992125984" footer="0.31496062992125984"/>
  <pageSetup scale="42" fitToHeight="23" orientation="portrait" horizontalDpi="4294967295" verticalDpi="4294967295" r:id="rId1"/>
  <headerFooter>
    <oddFooter>&amp;L&amp;F
&amp;A&amp;R&amp;P de &amp;N</oddFooter>
  </headerFooter>
  <rowBreaks count="3" manualBreakCount="3">
    <brk id="86" max="7" man="1"/>
    <brk id="99" max="7" man="1"/>
    <brk id="14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1"/>
  <sheetViews>
    <sheetView topLeftCell="A45" zoomScale="90" zoomScaleNormal="90" workbookViewId="0">
      <selection activeCell="F20" sqref="F20"/>
    </sheetView>
  </sheetViews>
  <sheetFormatPr baseColWidth="10" defaultColWidth="9.140625" defaultRowHeight="15" x14ac:dyDescent="0.25"/>
  <cols>
    <col min="1" max="1" width="3.7109375" style="745" customWidth="1"/>
    <col min="2" max="2" width="11.28515625" style="745" hidden="1" customWidth="1"/>
    <col min="3" max="3" width="14.28515625" style="750" customWidth="1"/>
    <col min="4" max="4" width="9.28515625" style="777" customWidth="1"/>
    <col min="5" max="5" width="9.5703125" style="777" customWidth="1"/>
    <col min="6" max="6" width="51.28515625" style="777" customWidth="1"/>
    <col min="7" max="7" width="11" style="777" customWidth="1"/>
    <col min="8" max="11" width="14.5703125" style="777" hidden="1" customWidth="1"/>
    <col min="12" max="13" width="15.140625" style="777" hidden="1" customWidth="1"/>
    <col min="14" max="14" width="12.42578125" style="777" customWidth="1"/>
    <col min="15" max="15" width="17.7109375" style="777" customWidth="1"/>
    <col min="16" max="16" width="21" style="777" bestFit="1" customWidth="1"/>
    <col min="17" max="17" width="3.7109375" style="745" customWidth="1"/>
    <col min="18" max="18" width="21.7109375" style="745" customWidth="1"/>
    <col min="19" max="19" width="25.5703125" style="745" customWidth="1"/>
    <col min="20" max="20" width="24.7109375" style="745" customWidth="1"/>
    <col min="21" max="16384" width="9.140625" style="745"/>
  </cols>
  <sheetData>
    <row r="2" spans="2:20" x14ac:dyDescent="0.25">
      <c r="C2" s="1428" t="s">
        <v>372</v>
      </c>
      <c r="D2" s="1428"/>
      <c r="E2" s="1428"/>
      <c r="F2" s="1428"/>
      <c r="G2" s="1428"/>
      <c r="H2" s="1428"/>
      <c r="I2" s="1428"/>
      <c r="J2" s="1428"/>
      <c r="K2" s="1428"/>
      <c r="L2" s="1428"/>
      <c r="M2" s="1428"/>
      <c r="N2" s="1428"/>
      <c r="O2" s="1428"/>
      <c r="P2" s="1428"/>
    </row>
    <row r="3" spans="2:20" x14ac:dyDescent="0.25">
      <c r="C3" s="1428"/>
      <c r="D3" s="1428"/>
      <c r="E3" s="1428"/>
      <c r="F3" s="1428"/>
      <c r="G3" s="1428"/>
      <c r="H3" s="1428"/>
      <c r="I3" s="1428"/>
      <c r="J3" s="1428"/>
      <c r="K3" s="1428"/>
      <c r="L3" s="1428"/>
      <c r="M3" s="1428"/>
      <c r="N3" s="1428"/>
      <c r="O3" s="1428"/>
      <c r="P3" s="1428"/>
    </row>
    <row r="4" spans="2:20" x14ac:dyDescent="0.25">
      <c r="C4" s="746"/>
      <c r="D4" s="746"/>
      <c r="E4" s="746"/>
      <c r="F4" s="746" t="s">
        <v>470</v>
      </c>
      <c r="G4" s="746"/>
      <c r="H4" s="746"/>
      <c r="I4" s="746"/>
      <c r="J4" s="746"/>
      <c r="K4" s="746"/>
      <c r="L4" s="746"/>
      <c r="M4" s="746"/>
      <c r="N4" s="7"/>
      <c r="O4" s="746"/>
      <c r="P4" s="746"/>
    </row>
    <row r="6" spans="2:20" ht="15" customHeight="1" x14ac:dyDescent="0.25"/>
    <row r="7" spans="2:20" ht="36" customHeight="1" x14ac:dyDescent="0.25">
      <c r="C7" s="747" t="s">
        <v>53</v>
      </c>
      <c r="D7" s="747" t="s">
        <v>0</v>
      </c>
      <c r="E7" s="747" t="s">
        <v>43</v>
      </c>
      <c r="F7" s="747" t="s">
        <v>1</v>
      </c>
      <c r="G7" s="748" t="s">
        <v>2</v>
      </c>
      <c r="H7" s="748"/>
      <c r="I7" s="748"/>
      <c r="J7" s="748"/>
      <c r="K7" s="748"/>
      <c r="L7" s="748"/>
      <c r="M7" s="748"/>
      <c r="N7" s="972" t="s">
        <v>3</v>
      </c>
      <c r="O7" s="748" t="s">
        <v>4</v>
      </c>
      <c r="P7" s="748" t="s">
        <v>5</v>
      </c>
    </row>
    <row r="8" spans="2:20" x14ac:dyDescent="0.25">
      <c r="C8" s="846"/>
      <c r="D8" s="846"/>
      <c r="E8" s="846"/>
      <c r="F8" s="846"/>
      <c r="G8" s="846"/>
      <c r="H8" s="846"/>
      <c r="I8" s="846"/>
      <c r="J8" s="846"/>
      <c r="K8" s="846"/>
      <c r="L8" s="846"/>
      <c r="M8" s="846"/>
      <c r="N8" s="973"/>
      <c r="O8" s="846"/>
      <c r="P8" s="846"/>
    </row>
    <row r="9" spans="2:20" x14ac:dyDescent="0.25">
      <c r="C9" s="747"/>
      <c r="D9" s="747"/>
      <c r="E9" s="747"/>
      <c r="F9" s="749" t="s">
        <v>19</v>
      </c>
      <c r="G9" s="747"/>
      <c r="H9" s="747"/>
      <c r="I9" s="747"/>
      <c r="J9" s="747"/>
      <c r="K9" s="747"/>
      <c r="L9" s="747"/>
      <c r="M9" s="747"/>
      <c r="N9" s="974"/>
      <c r="O9" s="747"/>
      <c r="P9" s="747"/>
    </row>
    <row r="10" spans="2:20" x14ac:dyDescent="0.25">
      <c r="B10" s="750" t="str">
        <f>+'[3]1. Colector Principal'!C13</f>
        <v>Excavación manual en material común:</v>
      </c>
      <c r="C10" s="751"/>
      <c r="D10" s="751"/>
      <c r="E10" s="42">
        <v>1</v>
      </c>
      <c r="F10" s="45" t="s">
        <v>54</v>
      </c>
      <c r="G10" s="45"/>
      <c r="H10" s="44"/>
      <c r="I10" s="44"/>
      <c r="J10" s="44"/>
      <c r="K10" s="44"/>
      <c r="L10" s="44"/>
      <c r="M10" s="44"/>
      <c r="N10" s="39"/>
      <c r="O10" s="40" t="str">
        <f>IF(D10="","",VLOOKUP(D10,#REF!,7,0))</f>
        <v/>
      </c>
      <c r="P10" s="39" t="str">
        <f>IF(ISERROR(+N10*O10),"",+N10*O10)</f>
        <v/>
      </c>
    </row>
    <row r="11" spans="2:20" ht="51" customHeight="1" x14ac:dyDescent="0.25">
      <c r="B11" s="750" t="str">
        <f>+'[3]1. Colector Principal'!C14</f>
        <v>Seco, entre 0 m y 2 m de profundidad</v>
      </c>
      <c r="C11" s="752" t="e">
        <f>'FORMATO PROPUESTA ECONÓMICA'!#REF!</f>
        <v>#REF!</v>
      </c>
      <c r="D11" s="753"/>
      <c r="E11" s="634">
        <f>'FORMATO PROPUESTA ECONÓMICA'!A8</f>
        <v>1.1000000000000001</v>
      </c>
      <c r="F11" s="621"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897">
        <f>N65*0.55</f>
        <v>2065.8000000000002</v>
      </c>
      <c r="O11" s="623">
        <f>'FORMATO PROPUESTA ECONÓMICA'!E8</f>
        <v>0</v>
      </c>
      <c r="P11" s="623">
        <f>IF(ISERROR(+N11*O11),"",+N11*O11)</f>
        <v>0</v>
      </c>
      <c r="Q11" s="755"/>
    </row>
    <row r="12" spans="2:20" x14ac:dyDescent="0.25">
      <c r="B12" s="750" t="str">
        <f>+'[3]1. Colector Principal'!C15</f>
        <v>Seco, entre 2 m y 4 m de profundidad</v>
      </c>
      <c r="C12" s="752" t="e">
        <f>'FORMATO PROPUESTA ECONÓMICA'!#REF!</f>
        <v>#REF!</v>
      </c>
      <c r="D12" s="756"/>
      <c r="E12" s="634">
        <f>'FORMATO PROPUESTA ECONÓMICA'!A9</f>
        <v>1.2</v>
      </c>
      <c r="F12" s="627"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897">
        <v>413.1</v>
      </c>
      <c r="O12" s="623">
        <f>'FORMATO PROPUESTA ECONÓMICA'!E9</f>
        <v>0</v>
      </c>
      <c r="P12" s="629">
        <f>IF(ISERROR(+N12*O12),"",+N12*O12)</f>
        <v>0</v>
      </c>
      <c r="Q12" s="755"/>
      <c r="S12" s="755"/>
    </row>
    <row r="13" spans="2:20" x14ac:dyDescent="0.25">
      <c r="B13" s="750" t="str">
        <f>+'[3]1. Colector Principal'!C16</f>
        <v>Seco, mayor a 4 m de profundidad</v>
      </c>
      <c r="C13" s="752" t="e">
        <f>'FORMATO PROPUESTA ECONÓMICA'!#REF!</f>
        <v>#REF!</v>
      </c>
      <c r="D13" s="756"/>
      <c r="E13" s="634">
        <f>'FORMATO PROPUESTA ECONÓMICA'!A10</f>
        <v>1.3</v>
      </c>
      <c r="F13" s="627"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897">
        <v>1108</v>
      </c>
      <c r="O13" s="623">
        <f>'FORMATO PROPUESTA ECONÓMICA'!E10</f>
        <v>0</v>
      </c>
      <c r="P13" s="629">
        <f>IF(ISERROR(+N13*O13),"",+N13*O13)</f>
        <v>0</v>
      </c>
      <c r="Q13" s="755"/>
      <c r="S13" s="755"/>
    </row>
    <row r="14" spans="2:20" x14ac:dyDescent="0.25">
      <c r="B14" s="750" t="str">
        <f>+'[3]1. Colector Principal'!C17</f>
        <v>Húmedo , entre 0 m y 2 m de profundidad</v>
      </c>
      <c r="C14" s="752" t="e">
        <f>'FORMATO PROPUESTA ECONÓMICA'!#REF!</f>
        <v>#REF!</v>
      </c>
      <c r="D14" s="756"/>
      <c r="E14" s="634">
        <f>'FORMATO PROPUESTA ECONÓMICA'!A11</f>
        <v>1.4</v>
      </c>
      <c r="F14" s="627"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897">
        <f>+N13</f>
        <v>1108</v>
      </c>
      <c r="O14" s="623">
        <f>'FORMATO PROPUESTA ECONÓMICA'!E11</f>
        <v>0</v>
      </c>
      <c r="P14" s="629">
        <f>IF(ISERROR(+N14*O14),"",+N14*O14)</f>
        <v>0</v>
      </c>
      <c r="Q14" s="755"/>
      <c r="S14" s="755"/>
    </row>
    <row r="15" spans="2:20" x14ac:dyDescent="0.25">
      <c r="B15" s="750"/>
      <c r="C15" s="841"/>
      <c r="D15" s="758"/>
      <c r="E15" s="732">
        <f>'FORMATO PROPUESTA ECONÓMICA'!A12</f>
        <v>2</v>
      </c>
      <c r="F15" s="574" t="s">
        <v>60</v>
      </c>
      <c r="G15" s="44"/>
      <c r="H15" s="39"/>
      <c r="I15" s="40"/>
      <c r="J15" s="41"/>
      <c r="K15" s="40"/>
      <c r="L15" s="40"/>
      <c r="M15" s="40"/>
      <c r="N15" s="971"/>
      <c r="O15" s="803"/>
      <c r="P15" s="39"/>
      <c r="Q15" s="755"/>
      <c r="R15" s="616"/>
      <c r="T15" s="745">
        <f>1.44*P15</f>
        <v>0</v>
      </c>
    </row>
    <row r="16" spans="2:20" x14ac:dyDescent="0.25">
      <c r="B16" s="750"/>
      <c r="C16" s="841"/>
      <c r="D16" s="758"/>
      <c r="E16" s="732">
        <f>'FORMATO PROPUESTA ECONÓMICA'!A13</f>
        <v>2.1</v>
      </c>
      <c r="F16" s="574" t="s">
        <v>61</v>
      </c>
      <c r="G16" s="44"/>
      <c r="H16" s="39"/>
      <c r="I16" s="40"/>
      <c r="J16" s="41"/>
      <c r="K16" s="40"/>
      <c r="L16" s="40"/>
      <c r="M16" s="40"/>
      <c r="N16" s="971"/>
      <c r="O16" s="803"/>
      <c r="P16" s="39"/>
      <c r="Q16" s="755"/>
      <c r="R16" s="616"/>
    </row>
    <row r="17" spans="2:19" ht="30" x14ac:dyDescent="0.25">
      <c r="B17" s="750"/>
      <c r="C17" s="752" t="e">
        <f>'FORMATO PROPUESTA ECONÓMICA'!#REF!</f>
        <v>#REF!</v>
      </c>
      <c r="D17" s="756"/>
      <c r="E17" s="634">
        <f>'FORMATO PROPUESTA ECONÓMICA'!A14</f>
        <v>2.2000000000000002</v>
      </c>
      <c r="F17" s="632" t="s">
        <v>62</v>
      </c>
      <c r="G17" s="628" t="s">
        <v>15</v>
      </c>
      <c r="H17" s="629"/>
      <c r="I17" s="630"/>
      <c r="J17" s="631"/>
      <c r="K17" s="630"/>
      <c r="L17" s="630"/>
      <c r="M17" s="630"/>
      <c r="N17" s="895">
        <f>+(N36+N37)*0.6*1.1+N65*0.4*0.6</f>
        <v>3540.5160000000001</v>
      </c>
      <c r="O17" s="623">
        <f>'FORMATO PROPUESTA ECONÓMICA'!E14</f>
        <v>0</v>
      </c>
      <c r="P17" s="629">
        <f>IF(ISERROR(+N17*O17),"",+N17*O17)</f>
        <v>0</v>
      </c>
      <c r="Q17" s="755"/>
      <c r="R17" s="616"/>
    </row>
    <row r="18" spans="2:19" ht="45" hidden="1" x14ac:dyDescent="0.25">
      <c r="B18" s="750"/>
      <c r="C18" s="752" t="e">
        <f>'FORMATO PROPUESTA ECONÓMICA'!#REF!</f>
        <v>#REF!</v>
      </c>
      <c r="D18" s="756"/>
      <c r="E18" s="620">
        <f>'FORMATO PROPUESTA ECONÓMICA'!A15</f>
        <v>2.2999999999999998</v>
      </c>
      <c r="F18" s="632" t="s">
        <v>431</v>
      </c>
      <c r="G18" s="628"/>
      <c r="H18" s="629"/>
      <c r="I18" s="630"/>
      <c r="J18" s="631"/>
      <c r="K18" s="630"/>
      <c r="L18" s="630"/>
      <c r="M18" s="630"/>
      <c r="N18" s="895"/>
      <c r="O18" s="623">
        <f>'FORMATO PROPUESTA ECONÓMICA'!E15</f>
        <v>0</v>
      </c>
      <c r="P18" s="629">
        <f>IF(ISERROR(+N18*O18),"",+N18*O18)</f>
        <v>0</v>
      </c>
      <c r="Q18" s="755"/>
      <c r="R18" s="616"/>
    </row>
    <row r="19" spans="2:19" ht="75" x14ac:dyDescent="0.25">
      <c r="B19" s="750" t="str">
        <f>+'[3]1. Colector Principal'!C22</f>
        <v>Entibados en madera</v>
      </c>
      <c r="C19" s="841" t="e">
        <f>'FORMATO PROPUESTA ECONÓMICA'!#REF!</f>
        <v>#REF!</v>
      </c>
      <c r="D19" s="758"/>
      <c r="E19" s="732">
        <f>'FORMATO PROPUESTA ECONÓMICA'!A17</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971"/>
      <c r="O19" s="803"/>
      <c r="P19" s="39"/>
      <c r="Q19" s="755"/>
      <c r="R19" s="616"/>
      <c r="S19" s="755"/>
    </row>
    <row r="20" spans="2:19" ht="30" x14ac:dyDescent="0.25">
      <c r="B20" s="750"/>
      <c r="C20" s="752" t="e">
        <f>'FORMATO PROPUESTA ECONÓMICA'!#REF!</f>
        <v>#REF!</v>
      </c>
      <c r="D20" s="756"/>
      <c r="E20" s="634">
        <f>'FORMATO PROPUESTA ECONÓMICA'!A18</f>
        <v>3.1</v>
      </c>
      <c r="F20" s="633" t="s">
        <v>64</v>
      </c>
      <c r="G20" s="628" t="s">
        <v>15</v>
      </c>
      <c r="H20" s="629"/>
      <c r="I20" s="630"/>
      <c r="J20" s="631"/>
      <c r="K20" s="630"/>
      <c r="L20" s="630"/>
      <c r="M20" s="630"/>
      <c r="N20" s="629">
        <f>N17*0.15</f>
        <v>531.07740000000001</v>
      </c>
      <c r="O20" s="623">
        <f>'FORMATO PROPUESTA ECONÓMICA'!E18</f>
        <v>0</v>
      </c>
      <c r="P20" s="629">
        <f t="shared" ref="P20:P25" si="1">IF(ISERROR(+N20*O20),"",+N20*O20)</f>
        <v>0</v>
      </c>
      <c r="Q20" s="755"/>
      <c r="R20" s="616"/>
      <c r="S20" s="755"/>
    </row>
    <row r="21" spans="2:19" ht="30" x14ac:dyDescent="0.25">
      <c r="B21" s="750"/>
      <c r="C21" s="752" t="e">
        <f>'FORMATO PROPUESTA ECONÓMICA'!#REF!</f>
        <v>#REF!</v>
      </c>
      <c r="D21" s="756"/>
      <c r="E21" s="634">
        <f>'FORMATO PROPUESTA ECONÓMICA'!A19</f>
        <v>3.2</v>
      </c>
      <c r="F21" s="633" t="s">
        <v>65</v>
      </c>
      <c r="G21" s="628" t="s">
        <v>15</v>
      </c>
      <c r="H21" s="629"/>
      <c r="I21" s="630"/>
      <c r="J21" s="631"/>
      <c r="K21" s="630"/>
      <c r="L21" s="630"/>
      <c r="M21" s="630"/>
      <c r="N21" s="629">
        <f>+N17*0.55-N25-N24</f>
        <v>1750.0158000000001</v>
      </c>
      <c r="O21" s="623">
        <f>'FORMATO PROPUESTA ECONÓMICA'!E19</f>
        <v>0</v>
      </c>
      <c r="P21" s="629">
        <f t="shared" si="1"/>
        <v>0</v>
      </c>
      <c r="Q21" s="755"/>
      <c r="R21" s="616"/>
    </row>
    <row r="22" spans="2:19" ht="30" x14ac:dyDescent="0.25">
      <c r="B22" s="750"/>
      <c r="C22" s="752" t="e">
        <f>'FORMATO PROPUESTA ECONÓMICA'!#REF!</f>
        <v>#REF!</v>
      </c>
      <c r="D22" s="756"/>
      <c r="E22" s="634">
        <f>'FORMATO PROPUESTA ECONÓMICA'!A20</f>
        <v>3.3</v>
      </c>
      <c r="F22" s="633" t="s">
        <v>66</v>
      </c>
      <c r="G22" s="628" t="s">
        <v>15</v>
      </c>
      <c r="H22" s="629"/>
      <c r="I22" s="630"/>
      <c r="J22" s="631"/>
      <c r="K22" s="630"/>
      <c r="L22" s="630"/>
      <c r="M22" s="630"/>
      <c r="N22" s="629">
        <f>N17*0.3</f>
        <v>1062.1548</v>
      </c>
      <c r="O22" s="623">
        <f>'FORMATO PROPUESTA ECONÓMICA'!E20</f>
        <v>0</v>
      </c>
      <c r="P22" s="629">
        <f t="shared" si="1"/>
        <v>0</v>
      </c>
      <c r="Q22" s="755"/>
      <c r="R22" s="616"/>
      <c r="S22" s="755"/>
    </row>
    <row r="23" spans="2:19" hidden="1" x14ac:dyDescent="0.25">
      <c r="B23" s="750"/>
      <c r="C23" s="752" t="e">
        <f>'FORMATO PROPUESTA ECONÓMICA'!#REF!</f>
        <v>#REF!</v>
      </c>
      <c r="D23" s="753"/>
      <c r="E23" s="634">
        <f>'FORMATO PROPUESTA ECONÓMICA'!A21</f>
        <v>3.4</v>
      </c>
      <c r="F23" s="633" t="s">
        <v>67</v>
      </c>
      <c r="G23" s="628"/>
      <c r="H23" s="629"/>
      <c r="I23" s="630"/>
      <c r="J23" s="631"/>
      <c r="K23" s="630"/>
      <c r="L23" s="630"/>
      <c r="M23" s="630"/>
      <c r="N23" s="629"/>
      <c r="O23" s="623">
        <f>'FORMATO PROPUESTA ECONÓMICA'!E21</f>
        <v>0</v>
      </c>
      <c r="P23" s="629">
        <f t="shared" si="1"/>
        <v>0</v>
      </c>
      <c r="Q23" s="755"/>
      <c r="R23" s="616"/>
      <c r="S23" s="755"/>
    </row>
    <row r="24" spans="2:19" ht="30" x14ac:dyDescent="0.25">
      <c r="B24" s="750"/>
      <c r="C24" s="752" t="e">
        <f>'FORMATO PROPUESTA ECONÓMICA'!#REF!</f>
        <v>#REF!</v>
      </c>
      <c r="D24" s="756"/>
      <c r="E24" s="634">
        <f>'FORMATO PROPUESTA ECONÓMICA'!A22</f>
        <v>3.5</v>
      </c>
      <c r="F24" s="633" t="s">
        <v>68</v>
      </c>
      <c r="G24" s="628" t="s">
        <v>15</v>
      </c>
      <c r="H24" s="629"/>
      <c r="I24" s="630"/>
      <c r="J24" s="631"/>
      <c r="K24" s="630"/>
      <c r="L24" s="630"/>
      <c r="M24" s="630"/>
      <c r="N24" s="629">
        <f>N110</f>
        <v>108</v>
      </c>
      <c r="O24" s="623">
        <f>'FORMATO PROPUESTA ECONÓMICA'!E22</f>
        <v>0</v>
      </c>
      <c r="P24" s="629">
        <f t="shared" si="1"/>
        <v>0</v>
      </c>
      <c r="Q24" s="755"/>
      <c r="R24" s="616"/>
      <c r="S24" s="616"/>
    </row>
    <row r="25" spans="2:19" x14ac:dyDescent="0.25">
      <c r="B25" s="750"/>
      <c r="C25" s="752" t="e">
        <f>'FORMATO PROPUESTA ECONÓMICA'!#REF!</f>
        <v>#REF!</v>
      </c>
      <c r="D25" s="756"/>
      <c r="E25" s="634">
        <f>'FORMATO PROPUESTA ECONÓMICA'!A23</f>
        <v>3.6</v>
      </c>
      <c r="F25" s="633" t="s">
        <v>441</v>
      </c>
      <c r="G25" s="628" t="s">
        <v>15</v>
      </c>
      <c r="H25" s="629"/>
      <c r="I25" s="630"/>
      <c r="J25" s="631"/>
      <c r="K25" s="630"/>
      <c r="L25" s="630"/>
      <c r="M25" s="630"/>
      <c r="N25" s="629">
        <f>(N36)*0.3*0.1</f>
        <v>89.268000000000001</v>
      </c>
      <c r="O25" s="623">
        <f>'FORMATO PROPUESTA ECONÓMICA'!E23</f>
        <v>0</v>
      </c>
      <c r="P25" s="629">
        <f t="shared" si="1"/>
        <v>0</v>
      </c>
      <c r="Q25" s="755"/>
      <c r="R25" s="616"/>
      <c r="S25" s="616"/>
    </row>
    <row r="26" spans="2:19" x14ac:dyDescent="0.25">
      <c r="B26" s="750" t="str">
        <f>+'[3]1. Colector Principal'!C25</f>
        <v>Lleno y apisonado de zanjas y apiques con</v>
      </c>
      <c r="C26" s="841" t="e">
        <f>'FORMATO PROPUESTA ECONÓMICA'!#REF!</f>
        <v>#REF!</v>
      </c>
      <c r="D26" s="758"/>
      <c r="E26" s="732">
        <f>'FORMATO PROPUESTA ECONÓMICA'!A24</f>
        <v>4</v>
      </c>
      <c r="F26" s="43" t="s">
        <v>69</v>
      </c>
      <c r="G26" s="44"/>
      <c r="H26" s="44"/>
      <c r="I26" s="44"/>
      <c r="J26" s="44"/>
      <c r="K26" s="44"/>
      <c r="L26" s="44"/>
      <c r="M26" s="44"/>
      <c r="N26" s="44"/>
      <c r="O26" s="803"/>
      <c r="P26" s="39"/>
      <c r="Q26" s="755"/>
      <c r="R26" s="616"/>
    </row>
    <row r="27" spans="2:19" ht="30" x14ac:dyDescent="0.25">
      <c r="B27" s="750" t="str">
        <f>+'[3]1. Colector Principal'!C26</f>
        <v>Material selecto de la excavación</v>
      </c>
      <c r="C27" s="752" t="e">
        <f>'FORMATO PROPUESTA ECONÓMICA'!#REF!</f>
        <v>#REF!</v>
      </c>
      <c r="D27" s="756"/>
      <c r="E27" s="620">
        <f>'FORMATO PROPUESTA ECONÓMICA'!A25</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629">
        <f>+(N21+N22+N24+N25)</f>
        <v>3009.4386000000004</v>
      </c>
      <c r="O27" s="623">
        <f>'FORMATO PROPUESTA ECONÓMICA'!E25</f>
        <v>0</v>
      </c>
      <c r="P27" s="629">
        <f>IF(ISERROR(+N27*O27),"",+N27*O27)</f>
        <v>0</v>
      </c>
      <c r="Q27" s="755"/>
      <c r="R27" s="616"/>
      <c r="S27" s="755"/>
    </row>
    <row r="28" spans="2:19" ht="30" x14ac:dyDescent="0.25">
      <c r="B28" s="750" t="str">
        <f>+'[3]1. Colector Principal'!C28</f>
        <v>Cargue, retiro y botada de material sobrante</v>
      </c>
      <c r="C28" s="841" t="e">
        <f>'FORMATO PROPUESTA ECONÓMICA'!#REF!</f>
        <v>#REF!</v>
      </c>
      <c r="D28" s="758"/>
      <c r="E28" s="732">
        <f>'FORMATO PROPUESTA ECONÓMICA'!A26</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971"/>
      <c r="O28" s="803"/>
      <c r="P28" s="39"/>
      <c r="Q28" s="755"/>
      <c r="R28" s="616"/>
    </row>
    <row r="29" spans="2:19" ht="30" x14ac:dyDescent="0.25">
      <c r="B29" s="750" t="str">
        <f>+'[3]1. Colector Principal'!C29</f>
        <v>Retiro y disposición final de material sobrante a cualquier distancia</v>
      </c>
      <c r="C29" s="752" t="e">
        <f>'FORMATO PROPUESTA ECONÓMICA'!#REF!</f>
        <v>#REF!</v>
      </c>
      <c r="D29" s="756"/>
      <c r="E29" s="634">
        <f>'FORMATO PROPUESTA ECONÓMICA'!A27</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895">
        <f>+N11</f>
        <v>2065.8000000000002</v>
      </c>
      <c r="O29" s="623">
        <f>'FORMATO PROPUESTA ECONÓMICA'!E27</f>
        <v>0</v>
      </c>
      <c r="P29" s="629">
        <f>IF(ISERROR(+N29*O29),"",+N29*O29)</f>
        <v>0</v>
      </c>
      <c r="Q29" s="755"/>
      <c r="R29" s="616"/>
    </row>
    <row r="30" spans="2:19" ht="30" x14ac:dyDescent="0.25">
      <c r="B30" s="750"/>
      <c r="C30" s="752" t="e">
        <f>'FORMATO PROPUESTA ECONÓMICA'!#REF!</f>
        <v>#REF!</v>
      </c>
      <c r="D30" s="756"/>
      <c r="E30" s="634">
        <f>'FORMATO PROPUESTA ECONÓMICA'!A28</f>
        <v>5.2</v>
      </c>
      <c r="F30" s="633" t="s">
        <v>74</v>
      </c>
      <c r="G30" s="628" t="s">
        <v>73</v>
      </c>
      <c r="H30" s="629"/>
      <c r="I30" s="630"/>
      <c r="J30" s="631"/>
      <c r="K30" s="630"/>
      <c r="L30" s="630"/>
      <c r="M30" s="630"/>
      <c r="N30" s="895">
        <f>+N12</f>
        <v>413.1</v>
      </c>
      <c r="O30" s="623">
        <f>'FORMATO PROPUESTA ECONÓMICA'!E28</f>
        <v>0</v>
      </c>
      <c r="P30" s="629">
        <f>IF(ISERROR(+N30*O30),"",+N30*O30)</f>
        <v>0</v>
      </c>
      <c r="Q30" s="755"/>
      <c r="R30" s="616"/>
      <c r="S30" s="616"/>
    </row>
    <row r="31" spans="2:19" ht="45" x14ac:dyDescent="0.25">
      <c r="B31" s="750"/>
      <c r="C31" s="752" t="e">
        <f>'FORMATO PROPUESTA ECONÓMICA'!#REF!</f>
        <v>#REF!</v>
      </c>
      <c r="D31" s="756"/>
      <c r="E31" s="634">
        <f>'FORMATO PROPUESTA ECONÓMICA'!A29</f>
        <v>5.3</v>
      </c>
      <c r="F31" s="633" t="s">
        <v>75</v>
      </c>
      <c r="G31" s="628" t="s">
        <v>7</v>
      </c>
      <c r="H31" s="629"/>
      <c r="I31" s="630"/>
      <c r="J31" s="631"/>
      <c r="K31" s="630"/>
      <c r="L31" s="630"/>
      <c r="M31" s="630"/>
      <c r="N31" s="901">
        <f>N13</f>
        <v>1108</v>
      </c>
      <c r="O31" s="623">
        <f>'FORMATO PROPUESTA ECONÓMICA'!E29</f>
        <v>0</v>
      </c>
      <c r="P31" s="629">
        <f>IF(ISERROR(+N31*O31),"",+N31*O31)</f>
        <v>0</v>
      </c>
      <c r="Q31" s="755"/>
      <c r="R31" s="616"/>
      <c r="S31" s="755"/>
    </row>
    <row r="32" spans="2:19" ht="45" x14ac:dyDescent="0.25">
      <c r="B32" s="750"/>
      <c r="C32" s="752" t="e">
        <f>'FORMATO PROPUESTA ECONÓMICA'!#REF!</f>
        <v>#REF!</v>
      </c>
      <c r="D32" s="756"/>
      <c r="E32" s="634">
        <f>'FORMATO PROPUESTA ECONÓMICA'!A30</f>
        <v>5.4</v>
      </c>
      <c r="F32" s="633" t="s">
        <v>76</v>
      </c>
      <c r="G32" s="628" t="s">
        <v>7</v>
      </c>
      <c r="H32" s="629"/>
      <c r="I32" s="630"/>
      <c r="J32" s="631"/>
      <c r="K32" s="630"/>
      <c r="L32" s="630"/>
      <c r="M32" s="630"/>
      <c r="N32" s="901">
        <f>N14</f>
        <v>1108</v>
      </c>
      <c r="O32" s="623">
        <f>'FORMATO PROPUESTA ECONÓMICA'!E30</f>
        <v>0</v>
      </c>
      <c r="P32" s="629">
        <f>IF(ISERROR(+N32*O32),"",+N32*O32)</f>
        <v>0</v>
      </c>
      <c r="Q32" s="755"/>
      <c r="R32" s="616"/>
      <c r="S32" s="755"/>
    </row>
    <row r="33" spans="2:19" x14ac:dyDescent="0.25">
      <c r="B33" s="750"/>
      <c r="C33" s="752" t="e">
        <f>'FORMATO PROPUESTA ECONÓMICA'!#REF!</f>
        <v>#REF!</v>
      </c>
      <c r="D33" s="756"/>
      <c r="E33" s="634">
        <f>'FORMATO PROPUESTA ECONÓMICA'!A31</f>
        <v>5.5</v>
      </c>
      <c r="F33" s="633" t="s">
        <v>77</v>
      </c>
      <c r="G33" s="628" t="s">
        <v>16</v>
      </c>
      <c r="H33" s="629"/>
      <c r="I33" s="630"/>
      <c r="J33" s="631"/>
      <c r="K33" s="630"/>
      <c r="L33" s="630"/>
      <c r="M33" s="630"/>
      <c r="N33" s="901">
        <f>50*0.6</f>
        <v>30</v>
      </c>
      <c r="O33" s="623">
        <f>'FORMATO PROPUESTA ECONÓMICA'!E31</f>
        <v>0</v>
      </c>
      <c r="P33" s="629">
        <f>IF(ISERROR(+N33*O33),"",+N33*O33)</f>
        <v>0</v>
      </c>
      <c r="Q33" s="755"/>
      <c r="R33" s="616"/>
    </row>
    <row r="34" spans="2:19" x14ac:dyDescent="0.25">
      <c r="B34" s="750" t="str">
        <f>+'[3]1. Colector Principal'!C30</f>
        <v>Construcción de Cámara de inspección de concreto de 21 MPa vaciadas en el sitio</v>
      </c>
      <c r="C34" s="841" t="e">
        <f>'FORMATO PROPUESTA ECONÓMICA'!#REF!</f>
        <v>#REF!</v>
      </c>
      <c r="D34" s="758"/>
      <c r="E34" s="732">
        <f>'FORMATO PROPUESTA ECONÓMICA'!A32</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971"/>
      <c r="O34" s="803"/>
      <c r="P34" s="39"/>
      <c r="Q34" s="755"/>
      <c r="R34" s="616"/>
    </row>
    <row r="35" spans="2:19" ht="30" hidden="1" x14ac:dyDescent="0.25">
      <c r="B35" s="750" t="str">
        <f>+'[3]1. Colector Principal'!C31</f>
        <v>Cilindro de la cámara 1.2m, concéntrica vaciada en situ</v>
      </c>
      <c r="C35" s="752" t="e">
        <f>'FORMATO PROPUESTA ECONÓMICA'!#REF!</f>
        <v>#REF!</v>
      </c>
      <c r="D35" s="756"/>
      <c r="E35" s="620">
        <f>'FORMATO PROPUESTA ECONÓMICA'!A33</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975"/>
      <c r="O35" s="623">
        <f>'FORMATO PROPUESTA ECONÓMICA'!E33</f>
        <v>0</v>
      </c>
      <c r="P35" s="629">
        <f t="shared" ref="P35:P63" si="2">IF(ISERROR(+N35*O35),"",+N35*O35)</f>
        <v>0</v>
      </c>
      <c r="Q35" s="755"/>
      <c r="R35" s="616"/>
    </row>
    <row r="36" spans="2:19" ht="30" x14ac:dyDescent="0.25">
      <c r="B36" s="750" t="str">
        <f>+'[3]1. Colector Principal'!C32</f>
        <v>Cilindro de la cámara 1.5m, concéntrica vaciada en situ</v>
      </c>
      <c r="C36" s="752" t="e">
        <f>'FORMATO PROPUESTA ECONÓMICA'!#REF!</f>
        <v>#REF!</v>
      </c>
      <c r="D36" s="756"/>
      <c r="E36" s="634">
        <f>'FORMATO PROPUESTA ECONÓMICA'!A34</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895">
        <v>2975.6</v>
      </c>
      <c r="O36" s="623">
        <f>'FORMATO PROPUESTA ECONÓMICA'!E34</f>
        <v>0</v>
      </c>
      <c r="P36" s="629">
        <f t="shared" si="2"/>
        <v>0</v>
      </c>
      <c r="Q36" s="755"/>
      <c r="R36" s="616"/>
      <c r="S36" s="755"/>
    </row>
    <row r="37" spans="2:19" ht="30" x14ac:dyDescent="0.25">
      <c r="B37" s="750"/>
      <c r="C37" s="752" t="e">
        <f>'FORMATO PROPUESTA ECONÓMICA'!#REF!</f>
        <v>#REF!</v>
      </c>
      <c r="D37" s="756"/>
      <c r="E37" s="634">
        <f>'FORMATO PROPUESTA ECONÓMICA'!A35</f>
        <v>6.3</v>
      </c>
      <c r="F37" s="633" t="s">
        <v>376</v>
      </c>
      <c r="G37" s="628" t="s">
        <v>59</v>
      </c>
      <c r="H37" s="629"/>
      <c r="I37" s="630"/>
      <c r="J37" s="631"/>
      <c r="K37" s="630"/>
      <c r="L37" s="630"/>
      <c r="M37" s="630"/>
      <c r="N37" s="895">
        <v>1023</v>
      </c>
      <c r="O37" s="623">
        <f>'FORMATO PROPUESTA ECONÓMICA'!E35</f>
        <v>0</v>
      </c>
      <c r="P37" s="629">
        <f t="shared" si="2"/>
        <v>0</v>
      </c>
      <c r="Q37" s="755"/>
      <c r="R37" s="616"/>
    </row>
    <row r="38" spans="2:19" ht="30" hidden="1" x14ac:dyDescent="0.25">
      <c r="B38" s="750"/>
      <c r="C38" s="752" t="e">
        <f>'FORMATO PROPUESTA ECONÓMICA'!#REF!</f>
        <v>#REF!</v>
      </c>
      <c r="D38" s="756"/>
      <c r="E38" s="634">
        <f>'FORMATO PROPUESTA ECONÓMICA'!A36</f>
        <v>6.4</v>
      </c>
      <c r="F38" s="633" t="s">
        <v>377</v>
      </c>
      <c r="G38" s="628" t="s">
        <v>59</v>
      </c>
      <c r="H38" s="629"/>
      <c r="I38" s="630"/>
      <c r="J38" s="631"/>
      <c r="K38" s="630"/>
      <c r="L38" s="630"/>
      <c r="M38" s="630"/>
      <c r="N38" s="895"/>
      <c r="O38" s="623">
        <f>'FORMATO PROPUESTA ECONÓMICA'!E36</f>
        <v>0</v>
      </c>
      <c r="P38" s="629">
        <f t="shared" si="2"/>
        <v>0</v>
      </c>
      <c r="Q38" s="755"/>
      <c r="R38" s="616"/>
    </row>
    <row r="39" spans="2:19" ht="30" hidden="1" x14ac:dyDescent="0.25">
      <c r="B39" s="750" t="str">
        <f>+'[3]1. Colector Principal'!C33</f>
        <v xml:space="preserve"> Base y Cañuela pozo de inspección para tuberías entre 8" a 24" (concreto f´c= 28MPa elab. en obra)</v>
      </c>
      <c r="C39" s="752" t="e">
        <f>'FORMATO PROPUESTA ECONÓMICA'!#REF!</f>
        <v>#REF!</v>
      </c>
      <c r="D39" s="756"/>
      <c r="E39" s="634">
        <f>'FORMATO PROPUESTA ECONÓMICA'!A37</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895"/>
      <c r="O39" s="623">
        <f>'FORMATO PROPUESTA ECONÓMICA'!E37</f>
        <v>0</v>
      </c>
      <c r="P39" s="629">
        <f t="shared" si="2"/>
        <v>0</v>
      </c>
      <c r="Q39" s="755"/>
      <c r="R39" s="616"/>
      <c r="S39" s="755"/>
    </row>
    <row r="40" spans="2:19" hidden="1" x14ac:dyDescent="0.25">
      <c r="B40" s="750"/>
      <c r="C40" s="752" t="e">
        <f>'FORMATO PROPUESTA ECONÓMICA'!#REF!</f>
        <v>#REF!</v>
      </c>
      <c r="D40" s="756"/>
      <c r="E40" s="634">
        <f>'FORMATO PROPUESTA ECONÓMICA'!A38</f>
        <v>6.6</v>
      </c>
      <c r="F40" s="633" t="s">
        <v>382</v>
      </c>
      <c r="G40" s="628" t="s">
        <v>79</v>
      </c>
      <c r="H40" s="629"/>
      <c r="I40" s="630"/>
      <c r="J40" s="631"/>
      <c r="K40" s="630"/>
      <c r="L40" s="630"/>
      <c r="M40" s="630"/>
      <c r="N40" s="895"/>
      <c r="O40" s="623">
        <f>'FORMATO PROPUESTA ECONÓMICA'!E38</f>
        <v>0</v>
      </c>
      <c r="P40" s="629">
        <f t="shared" si="2"/>
        <v>0</v>
      </c>
      <c r="Q40" s="755"/>
      <c r="R40" s="616"/>
      <c r="S40" s="616"/>
    </row>
    <row r="41" spans="2:19" x14ac:dyDescent="0.25">
      <c r="B41" s="750"/>
      <c r="C41" s="752" t="e">
        <f>'FORMATO PROPUESTA ECONÓMICA'!#REF!</f>
        <v>#REF!</v>
      </c>
      <c r="D41" s="756"/>
      <c r="E41" s="634">
        <f>'FORMATO PROPUESTA ECONÓMICA'!A39</f>
        <v>6.7</v>
      </c>
      <c r="F41" s="633" t="s">
        <v>381</v>
      </c>
      <c r="G41" s="628" t="s">
        <v>79</v>
      </c>
      <c r="H41" s="629"/>
      <c r="I41" s="630"/>
      <c r="J41" s="631"/>
      <c r="K41" s="630"/>
      <c r="L41" s="630"/>
      <c r="M41" s="630"/>
      <c r="N41" s="896">
        <v>25</v>
      </c>
      <c r="O41" s="623">
        <f>'FORMATO PROPUESTA ECONÓMICA'!E39</f>
        <v>0</v>
      </c>
      <c r="P41" s="629">
        <f t="shared" si="2"/>
        <v>0</v>
      </c>
      <c r="Q41" s="755"/>
      <c r="R41" s="616"/>
    </row>
    <row r="42" spans="2:19" hidden="1" x14ac:dyDescent="0.25">
      <c r="B42" s="750"/>
      <c r="C42" s="752" t="e">
        <f>'FORMATO PROPUESTA ECONÓMICA'!#REF!</f>
        <v>#REF!</v>
      </c>
      <c r="D42" s="756"/>
      <c r="E42" s="620">
        <f>'FORMATO PROPUESTA ECONÓMICA'!A40</f>
        <v>6.8</v>
      </c>
      <c r="F42" s="633" t="s">
        <v>383</v>
      </c>
      <c r="G42" s="628" t="s">
        <v>79</v>
      </c>
      <c r="H42" s="629"/>
      <c r="I42" s="630"/>
      <c r="J42" s="631"/>
      <c r="K42" s="630"/>
      <c r="L42" s="630"/>
      <c r="M42" s="630"/>
      <c r="N42" s="896"/>
      <c r="O42" s="623">
        <f>'FORMATO PROPUESTA ECONÓMICA'!E40</f>
        <v>0</v>
      </c>
      <c r="P42" s="629">
        <f t="shared" si="2"/>
        <v>0</v>
      </c>
      <c r="Q42" s="755"/>
      <c r="R42" s="616"/>
    </row>
    <row r="43" spans="2:19" hidden="1" x14ac:dyDescent="0.25">
      <c r="B43" s="750"/>
      <c r="C43" s="752" t="e">
        <f>'FORMATO PROPUESTA ECONÓMICA'!#REF!</f>
        <v>#REF!</v>
      </c>
      <c r="D43" s="756"/>
      <c r="E43" s="620">
        <f>'FORMATO PROPUESTA ECONÓMICA'!A41</f>
        <v>6.9</v>
      </c>
      <c r="F43" s="633" t="s">
        <v>384</v>
      </c>
      <c r="G43" s="628" t="s">
        <v>79</v>
      </c>
      <c r="H43" s="629"/>
      <c r="I43" s="630"/>
      <c r="J43" s="631"/>
      <c r="K43" s="630"/>
      <c r="L43" s="630"/>
      <c r="M43" s="630"/>
      <c r="N43" s="896"/>
      <c r="O43" s="623">
        <f>'FORMATO PROPUESTA ECONÓMICA'!E41</f>
        <v>0</v>
      </c>
      <c r="P43" s="629">
        <f t="shared" si="2"/>
        <v>0</v>
      </c>
      <c r="Q43" s="755"/>
      <c r="R43" s="616"/>
    </row>
    <row r="44" spans="2:19" hidden="1" x14ac:dyDescent="0.25">
      <c r="B44" s="750"/>
      <c r="C44" s="752" t="e">
        <f>'FORMATO PROPUESTA ECONÓMICA'!#REF!</f>
        <v>#REF!</v>
      </c>
      <c r="D44" s="756"/>
      <c r="E44" s="620">
        <f>'FORMATO PROPUESTA ECONÓMICA'!A42</f>
        <v>6.1</v>
      </c>
      <c r="F44" s="633" t="s">
        <v>385</v>
      </c>
      <c r="G44" s="628" t="s">
        <v>79</v>
      </c>
      <c r="H44" s="629"/>
      <c r="I44" s="630"/>
      <c r="J44" s="631"/>
      <c r="K44" s="630"/>
      <c r="L44" s="630"/>
      <c r="M44" s="630"/>
      <c r="N44" s="896"/>
      <c r="O44" s="623">
        <f>'FORMATO PROPUESTA ECONÓMICA'!E42</f>
        <v>0</v>
      </c>
      <c r="P44" s="629">
        <f t="shared" si="2"/>
        <v>0</v>
      </c>
      <c r="Q44" s="755"/>
      <c r="R44" s="616"/>
    </row>
    <row r="45" spans="2:19" x14ac:dyDescent="0.25">
      <c r="B45" s="750"/>
      <c r="C45" s="752" t="e">
        <f>'FORMATO PROPUESTA ECONÓMICA'!#REF!</f>
        <v>#REF!</v>
      </c>
      <c r="D45" s="756"/>
      <c r="E45" s="620">
        <f>'FORMATO PROPUESTA ECONÓMICA'!A43</f>
        <v>6.11</v>
      </c>
      <c r="F45" s="633" t="s">
        <v>386</v>
      </c>
      <c r="G45" s="628" t="s">
        <v>79</v>
      </c>
      <c r="H45" s="629"/>
      <c r="I45" s="630"/>
      <c r="J45" s="631"/>
      <c r="K45" s="630"/>
      <c r="L45" s="630"/>
      <c r="M45" s="630"/>
      <c r="N45" s="896">
        <v>20</v>
      </c>
      <c r="O45" s="623">
        <f>'FORMATO PROPUESTA ECONÓMICA'!E43</f>
        <v>0</v>
      </c>
      <c r="P45" s="629">
        <f t="shared" si="2"/>
        <v>0</v>
      </c>
      <c r="Q45" s="755"/>
      <c r="R45" s="616"/>
    </row>
    <row r="46" spans="2:19" hidden="1" x14ac:dyDescent="0.25">
      <c r="B46" s="750"/>
      <c r="C46" s="752" t="e">
        <f>'FORMATO PROPUESTA ECONÓMICA'!#REF!</f>
        <v>#REF!</v>
      </c>
      <c r="D46" s="756"/>
      <c r="E46" s="620">
        <f>'FORMATO PROPUESTA ECONÓMICA'!A44</f>
        <v>6.12</v>
      </c>
      <c r="F46" s="711" t="s">
        <v>445</v>
      </c>
      <c r="G46" s="622" t="s">
        <v>79</v>
      </c>
      <c r="H46" s="629"/>
      <c r="I46" s="630"/>
      <c r="J46" s="631"/>
      <c r="K46" s="630"/>
      <c r="L46" s="630"/>
      <c r="M46" s="630"/>
      <c r="N46" s="896"/>
      <c r="O46" s="623">
        <f>'FORMATO PROPUESTA ECONÓMICA'!E44</f>
        <v>0</v>
      </c>
      <c r="P46" s="629">
        <f t="shared" si="2"/>
        <v>0</v>
      </c>
      <c r="Q46" s="755"/>
      <c r="R46" s="616"/>
    </row>
    <row r="47" spans="2:19" hidden="1" x14ac:dyDescent="0.25">
      <c r="B47" s="750"/>
      <c r="C47" s="752" t="e">
        <f>'FORMATO PROPUESTA ECONÓMICA'!#REF!</f>
        <v>#REF!</v>
      </c>
      <c r="D47" s="756"/>
      <c r="E47" s="620">
        <f>'FORMATO PROPUESTA ECONÓMICA'!A45</f>
        <v>6.13</v>
      </c>
      <c r="F47" s="633" t="s">
        <v>387</v>
      </c>
      <c r="G47" s="628" t="s">
        <v>79</v>
      </c>
      <c r="H47" s="629"/>
      <c r="I47" s="630"/>
      <c r="J47" s="631"/>
      <c r="K47" s="630"/>
      <c r="L47" s="630"/>
      <c r="M47" s="630"/>
      <c r="N47" s="896"/>
      <c r="O47" s="623">
        <f>'FORMATO PROPUESTA ECONÓMICA'!E45</f>
        <v>0</v>
      </c>
      <c r="P47" s="629">
        <f t="shared" si="2"/>
        <v>0</v>
      </c>
      <c r="Q47" s="755"/>
      <c r="R47" s="616"/>
    </row>
    <row r="48" spans="2:19" hidden="1" x14ac:dyDescent="0.25">
      <c r="B48" s="750"/>
      <c r="C48" s="752" t="e">
        <f>'FORMATO PROPUESTA ECONÓMICA'!#REF!</f>
        <v>#REF!</v>
      </c>
      <c r="D48" s="756"/>
      <c r="E48" s="620">
        <f>'FORMATO PROPUESTA ECONÓMICA'!A46</f>
        <v>6.14</v>
      </c>
      <c r="F48" s="633" t="s">
        <v>388</v>
      </c>
      <c r="G48" s="628" t="s">
        <v>79</v>
      </c>
      <c r="H48" s="629"/>
      <c r="I48" s="630"/>
      <c r="J48" s="631"/>
      <c r="K48" s="630"/>
      <c r="L48" s="630"/>
      <c r="M48" s="630"/>
      <c r="N48" s="896"/>
      <c r="O48" s="623">
        <f>'FORMATO PROPUESTA ECONÓMICA'!E46</f>
        <v>0</v>
      </c>
      <c r="P48" s="629">
        <f t="shared" si="2"/>
        <v>0</v>
      </c>
      <c r="Q48" s="755"/>
      <c r="R48" s="616"/>
    </row>
    <row r="49" spans="2:18" hidden="1" x14ac:dyDescent="0.25">
      <c r="B49" s="750"/>
      <c r="C49" s="752" t="e">
        <f>'FORMATO PROPUESTA ECONÓMICA'!#REF!</f>
        <v>#REF!</v>
      </c>
      <c r="D49" s="756"/>
      <c r="E49" s="620">
        <f>'FORMATO PROPUESTA ECONÓMICA'!A47</f>
        <v>6.15</v>
      </c>
      <c r="F49" s="633" t="s">
        <v>389</v>
      </c>
      <c r="G49" s="628" t="s">
        <v>79</v>
      </c>
      <c r="H49" s="629"/>
      <c r="I49" s="630"/>
      <c r="J49" s="631"/>
      <c r="K49" s="630"/>
      <c r="L49" s="630"/>
      <c r="M49" s="630"/>
      <c r="N49" s="896"/>
      <c r="O49" s="623">
        <f>'FORMATO PROPUESTA ECONÓMICA'!E47</f>
        <v>0</v>
      </c>
      <c r="P49" s="629">
        <f t="shared" si="2"/>
        <v>0</v>
      </c>
      <c r="Q49" s="755"/>
      <c r="R49" s="616"/>
    </row>
    <row r="50" spans="2:18" hidden="1" x14ac:dyDescent="0.25">
      <c r="B50" s="750"/>
      <c r="C50" s="752" t="e">
        <f>'FORMATO PROPUESTA ECONÓMICA'!#REF!</f>
        <v>#REF!</v>
      </c>
      <c r="D50" s="756"/>
      <c r="E50" s="620">
        <f>'FORMATO PROPUESTA ECONÓMICA'!A48</f>
        <v>6.16</v>
      </c>
      <c r="F50" s="633" t="s">
        <v>390</v>
      </c>
      <c r="G50" s="628" t="s">
        <v>79</v>
      </c>
      <c r="H50" s="629"/>
      <c r="I50" s="630"/>
      <c r="J50" s="631"/>
      <c r="K50" s="630"/>
      <c r="L50" s="630"/>
      <c r="M50" s="630"/>
      <c r="N50" s="896"/>
      <c r="O50" s="623">
        <f>'FORMATO PROPUESTA ECONÓMICA'!E48</f>
        <v>0</v>
      </c>
      <c r="P50" s="629">
        <f t="shared" si="2"/>
        <v>0</v>
      </c>
      <c r="Q50" s="755"/>
      <c r="R50" s="616"/>
    </row>
    <row r="51" spans="2:18" x14ac:dyDescent="0.25">
      <c r="B51" s="750"/>
      <c r="C51" s="752" t="e">
        <f>'FORMATO PROPUESTA ECONÓMICA'!#REF!</f>
        <v>#REF!</v>
      </c>
      <c r="D51" s="756"/>
      <c r="E51" s="620">
        <f>'FORMATO PROPUESTA ECONÓMICA'!A49</f>
        <v>6.17</v>
      </c>
      <c r="F51" s="633" t="s">
        <v>391</v>
      </c>
      <c r="G51" s="628" t="s">
        <v>79</v>
      </c>
      <c r="H51" s="629"/>
      <c r="I51" s="630"/>
      <c r="J51" s="631"/>
      <c r="K51" s="630"/>
      <c r="L51" s="630"/>
      <c r="M51" s="630"/>
      <c r="N51" s="896">
        <v>12</v>
      </c>
      <c r="O51" s="623">
        <f>'FORMATO PROPUESTA ECONÓMICA'!E49</f>
        <v>0</v>
      </c>
      <c r="P51" s="629">
        <f t="shared" si="2"/>
        <v>0</v>
      </c>
      <c r="Q51" s="755"/>
      <c r="R51" s="616"/>
    </row>
    <row r="52" spans="2:18" hidden="1" x14ac:dyDescent="0.25">
      <c r="B52" s="750"/>
      <c r="C52" s="752" t="e">
        <f>'FORMATO PROPUESTA ECONÓMICA'!#REF!</f>
        <v>#REF!</v>
      </c>
      <c r="D52" s="756"/>
      <c r="E52" s="620">
        <f>'FORMATO PROPUESTA ECONÓMICA'!A50</f>
        <v>6.18</v>
      </c>
      <c r="F52" s="633" t="s">
        <v>392</v>
      </c>
      <c r="G52" s="628" t="s">
        <v>79</v>
      </c>
      <c r="H52" s="629"/>
      <c r="I52" s="630"/>
      <c r="J52" s="631"/>
      <c r="K52" s="630"/>
      <c r="L52" s="630"/>
      <c r="M52" s="630"/>
      <c r="N52" s="904"/>
      <c r="O52" s="623">
        <f>'FORMATO PROPUESTA ECONÓMICA'!E50</f>
        <v>0</v>
      </c>
      <c r="P52" s="629">
        <f t="shared" si="2"/>
        <v>0</v>
      </c>
      <c r="Q52" s="755"/>
      <c r="R52" s="616"/>
    </row>
    <row r="53" spans="2:18" hidden="1" x14ac:dyDescent="0.25">
      <c r="B53" s="750"/>
      <c r="C53" s="752" t="e">
        <f>'FORMATO PROPUESTA ECONÓMICA'!#REF!</f>
        <v>#REF!</v>
      </c>
      <c r="D53" s="756"/>
      <c r="E53" s="620">
        <f>'FORMATO PROPUESTA ECONÓMICA'!A51</f>
        <v>6.19</v>
      </c>
      <c r="F53" s="633" t="s">
        <v>393</v>
      </c>
      <c r="G53" s="628" t="s">
        <v>79</v>
      </c>
      <c r="H53" s="629"/>
      <c r="I53" s="630"/>
      <c r="J53" s="631"/>
      <c r="K53" s="630"/>
      <c r="L53" s="630"/>
      <c r="M53" s="630"/>
      <c r="N53" s="904"/>
      <c r="O53" s="623">
        <f>'FORMATO PROPUESTA ECONÓMICA'!E51</f>
        <v>0</v>
      </c>
      <c r="P53" s="629">
        <f t="shared" si="2"/>
        <v>0</v>
      </c>
      <c r="Q53" s="755"/>
      <c r="R53" s="616"/>
    </row>
    <row r="54" spans="2:18" hidden="1" x14ac:dyDescent="0.25">
      <c r="B54" s="750"/>
      <c r="C54" s="752" t="e">
        <f>'FORMATO PROPUESTA ECONÓMICA'!#REF!</f>
        <v>#REF!</v>
      </c>
      <c r="D54" s="756"/>
      <c r="E54" s="620">
        <f>'FORMATO PROPUESTA ECONÓMICA'!A52</f>
        <v>6.2</v>
      </c>
      <c r="F54" s="633" t="s">
        <v>394</v>
      </c>
      <c r="G54" s="628" t="s">
        <v>79</v>
      </c>
      <c r="H54" s="629"/>
      <c r="I54" s="630"/>
      <c r="J54" s="631"/>
      <c r="K54" s="630"/>
      <c r="L54" s="630"/>
      <c r="M54" s="630"/>
      <c r="N54" s="904"/>
      <c r="O54" s="623">
        <f>'FORMATO PROPUESTA ECONÓMICA'!E52</f>
        <v>0</v>
      </c>
      <c r="P54" s="629">
        <f t="shared" si="2"/>
        <v>0</v>
      </c>
      <c r="Q54" s="755"/>
      <c r="R54" s="616"/>
    </row>
    <row r="55" spans="2:18" hidden="1" x14ac:dyDescent="0.25">
      <c r="B55" s="750"/>
      <c r="C55" s="752" t="e">
        <f>'FORMATO PROPUESTA ECONÓMICA'!#REF!</f>
        <v>#REF!</v>
      </c>
      <c r="D55" s="756"/>
      <c r="E55" s="620">
        <f>'FORMATO PROPUESTA ECONÓMICA'!A53</f>
        <v>6.21</v>
      </c>
      <c r="F55" s="633" t="s">
        <v>395</v>
      </c>
      <c r="G55" s="628" t="s">
        <v>79</v>
      </c>
      <c r="H55" s="629"/>
      <c r="I55" s="630"/>
      <c r="J55" s="631"/>
      <c r="K55" s="630"/>
      <c r="L55" s="630"/>
      <c r="M55" s="630"/>
      <c r="N55" s="904"/>
      <c r="O55" s="623">
        <f>'FORMATO PROPUESTA ECONÓMICA'!E53</f>
        <v>0</v>
      </c>
      <c r="P55" s="629">
        <f t="shared" si="2"/>
        <v>0</v>
      </c>
      <c r="Q55" s="755"/>
      <c r="R55" s="616"/>
    </row>
    <row r="56" spans="2:18" hidden="1" x14ac:dyDescent="0.25">
      <c r="B56" s="750"/>
      <c r="C56" s="752" t="e">
        <f>'FORMATO PROPUESTA ECONÓMICA'!#REF!</f>
        <v>#REF!</v>
      </c>
      <c r="D56" s="756"/>
      <c r="E56" s="620">
        <f>'FORMATO PROPUESTA ECONÓMICA'!A54</f>
        <v>6.22</v>
      </c>
      <c r="F56" s="633" t="s">
        <v>396</v>
      </c>
      <c r="G56" s="628" t="s">
        <v>79</v>
      </c>
      <c r="H56" s="629"/>
      <c r="I56" s="630"/>
      <c r="J56" s="631"/>
      <c r="K56" s="630"/>
      <c r="L56" s="630"/>
      <c r="M56" s="630"/>
      <c r="N56" s="904"/>
      <c r="O56" s="623">
        <f>'FORMATO PROPUESTA ECONÓMICA'!E54</f>
        <v>0</v>
      </c>
      <c r="P56" s="629">
        <f t="shared" si="2"/>
        <v>0</v>
      </c>
      <c r="Q56" s="755"/>
      <c r="R56" s="616"/>
    </row>
    <row r="57" spans="2:18" hidden="1" x14ac:dyDescent="0.25">
      <c r="B57" s="750"/>
      <c r="C57" s="752" t="e">
        <f>'FORMATO PROPUESTA ECONÓMICA'!#REF!</f>
        <v>#REF!</v>
      </c>
      <c r="D57" s="756"/>
      <c r="E57" s="620">
        <f>'FORMATO PROPUESTA ECONÓMICA'!A55</f>
        <v>6.23</v>
      </c>
      <c r="F57" s="633" t="s">
        <v>397</v>
      </c>
      <c r="G57" s="628" t="s">
        <v>79</v>
      </c>
      <c r="H57" s="629"/>
      <c r="I57" s="630"/>
      <c r="J57" s="631"/>
      <c r="K57" s="630"/>
      <c r="L57" s="630"/>
      <c r="M57" s="630"/>
      <c r="N57" s="904"/>
      <c r="O57" s="623">
        <f>'FORMATO PROPUESTA ECONÓMICA'!E55</f>
        <v>0</v>
      </c>
      <c r="P57" s="629">
        <f t="shared" si="2"/>
        <v>0</v>
      </c>
      <c r="Q57" s="755"/>
      <c r="R57" s="616"/>
    </row>
    <row r="58" spans="2:18" x14ac:dyDescent="0.25">
      <c r="B58" s="750"/>
      <c r="C58" s="752" t="e">
        <f>'FORMATO PROPUESTA ECONÓMICA'!#REF!</f>
        <v>#REF!</v>
      </c>
      <c r="D58" s="756"/>
      <c r="E58" s="620">
        <f>'FORMATO PROPUESTA ECONÓMICA'!A56</f>
        <v>6.24</v>
      </c>
      <c r="F58" s="633" t="s">
        <v>398</v>
      </c>
      <c r="G58" s="628" t="s">
        <v>79</v>
      </c>
      <c r="H58" s="629"/>
      <c r="I58" s="630"/>
      <c r="J58" s="631"/>
      <c r="K58" s="630"/>
      <c r="L58" s="630"/>
      <c r="M58" s="630"/>
      <c r="N58" s="904">
        <f>N87</f>
        <v>12</v>
      </c>
      <c r="O58" s="623">
        <f>'FORMATO PROPUESTA ECONÓMICA'!E56</f>
        <v>0</v>
      </c>
      <c r="P58" s="629">
        <f t="shared" si="2"/>
        <v>0</v>
      </c>
      <c r="Q58" s="755"/>
      <c r="R58" s="616"/>
    </row>
    <row r="59" spans="2:18" hidden="1" x14ac:dyDescent="0.25">
      <c r="B59" s="750"/>
      <c r="C59" s="752" t="e">
        <f>'FORMATO PROPUESTA ECONÓMICA'!#REF!</f>
        <v>#REF!</v>
      </c>
      <c r="D59" s="756"/>
      <c r="E59" s="620">
        <f>'FORMATO PROPUESTA ECONÓMICA'!A57</f>
        <v>6.25</v>
      </c>
      <c r="F59" s="633" t="s">
        <v>399</v>
      </c>
      <c r="G59" s="628" t="s">
        <v>79</v>
      </c>
      <c r="H59" s="629"/>
      <c r="I59" s="630"/>
      <c r="J59" s="631"/>
      <c r="K59" s="630"/>
      <c r="L59" s="630"/>
      <c r="M59" s="630"/>
      <c r="N59" s="904"/>
      <c r="O59" s="623">
        <f>'FORMATO PROPUESTA ECONÓMICA'!E57</f>
        <v>0</v>
      </c>
      <c r="P59" s="629">
        <f t="shared" si="2"/>
        <v>0</v>
      </c>
      <c r="Q59" s="755"/>
      <c r="R59" s="616"/>
    </row>
    <row r="60" spans="2:18" hidden="1" x14ac:dyDescent="0.25">
      <c r="B60" s="750"/>
      <c r="C60" s="752" t="e">
        <f>'FORMATO PROPUESTA ECONÓMICA'!#REF!</f>
        <v>#REF!</v>
      </c>
      <c r="D60" s="756"/>
      <c r="E60" s="620">
        <f>'FORMATO PROPUESTA ECONÓMICA'!A58</f>
        <v>6.26</v>
      </c>
      <c r="F60" s="633" t="s">
        <v>400</v>
      </c>
      <c r="G60" s="628" t="s">
        <v>79</v>
      </c>
      <c r="H60" s="629"/>
      <c r="I60" s="630"/>
      <c r="J60" s="631"/>
      <c r="K60" s="630"/>
      <c r="L60" s="630"/>
      <c r="M60" s="630"/>
      <c r="N60" s="904"/>
      <c r="O60" s="623">
        <f>'FORMATO PROPUESTA ECONÓMICA'!E58</f>
        <v>0</v>
      </c>
      <c r="P60" s="629">
        <f t="shared" si="2"/>
        <v>0</v>
      </c>
      <c r="Q60" s="755"/>
      <c r="R60" s="616"/>
    </row>
    <row r="61" spans="2:18" hidden="1" x14ac:dyDescent="0.25">
      <c r="B61" s="750"/>
      <c r="C61" s="752" t="e">
        <f>'FORMATO PROPUESTA ECONÓMICA'!#REF!</f>
        <v>#REF!</v>
      </c>
      <c r="D61" s="756"/>
      <c r="E61" s="620">
        <f>'FORMATO PROPUESTA ECONÓMICA'!A59</f>
        <v>6.27</v>
      </c>
      <c r="F61" s="633" t="s">
        <v>401</v>
      </c>
      <c r="G61" s="628" t="s">
        <v>79</v>
      </c>
      <c r="H61" s="629"/>
      <c r="I61" s="630"/>
      <c r="J61" s="631"/>
      <c r="K61" s="630"/>
      <c r="L61" s="630"/>
      <c r="M61" s="630"/>
      <c r="N61" s="897"/>
      <c r="O61" s="623">
        <f>'FORMATO PROPUESTA ECONÓMICA'!E59</f>
        <v>0</v>
      </c>
      <c r="P61" s="629">
        <f t="shared" si="2"/>
        <v>0</v>
      </c>
      <c r="Q61" s="755"/>
      <c r="R61" s="616"/>
    </row>
    <row r="62" spans="2:18" ht="30" hidden="1" x14ac:dyDescent="0.25">
      <c r="B62" s="750"/>
      <c r="C62" s="752" t="e">
        <f>'FORMATO PROPUESTA ECONÓMICA'!#REF!</f>
        <v>#REF!</v>
      </c>
      <c r="D62" s="756"/>
      <c r="E62" s="620">
        <f>'FORMATO PROPUESTA ECONÓMICA'!A60</f>
        <v>6.28</v>
      </c>
      <c r="F62" s="633" t="s">
        <v>80</v>
      </c>
      <c r="G62" s="628" t="s">
        <v>79</v>
      </c>
      <c r="H62" s="629"/>
      <c r="I62" s="630"/>
      <c r="J62" s="631"/>
      <c r="K62" s="630"/>
      <c r="L62" s="630"/>
      <c r="M62" s="630"/>
      <c r="N62" s="897"/>
      <c r="O62" s="623">
        <f>'FORMATO PROPUESTA ECONÓMICA'!E60</f>
        <v>0</v>
      </c>
      <c r="P62" s="629">
        <f t="shared" si="2"/>
        <v>0</v>
      </c>
      <c r="Q62" s="755"/>
      <c r="R62" s="616"/>
    </row>
    <row r="63" spans="2:18" ht="30" x14ac:dyDescent="0.25">
      <c r="B63" s="750"/>
      <c r="C63" s="752" t="e">
        <f>'FORMATO PROPUESTA ECONÓMICA'!#REF!</f>
        <v>#REF!</v>
      </c>
      <c r="D63" s="756"/>
      <c r="E63" s="620">
        <f>'FORMATO PROPUESTA ECONÓMICA'!A61</f>
        <v>6.29</v>
      </c>
      <c r="F63" s="633" t="s">
        <v>81</v>
      </c>
      <c r="G63" s="628" t="s">
        <v>79</v>
      </c>
      <c r="H63" s="629"/>
      <c r="I63" s="630"/>
      <c r="J63" s="631"/>
      <c r="K63" s="630"/>
      <c r="L63" s="630"/>
      <c r="M63" s="630"/>
      <c r="N63" s="897">
        <v>1</v>
      </c>
      <c r="O63" s="623">
        <f>'FORMATO PROPUESTA ECONÓMICA'!E61</f>
        <v>0</v>
      </c>
      <c r="P63" s="629">
        <f t="shared" si="2"/>
        <v>0</v>
      </c>
      <c r="Q63" s="755"/>
      <c r="R63" s="616"/>
    </row>
    <row r="64" spans="2:18" ht="30" x14ac:dyDescent="0.25">
      <c r="B64" s="750" t="str">
        <f>+'[3]1. Colector Principal'!C40</f>
        <v>Suministro, transporte y colocación de entresuelo para cimentaciones y apoyo de tubería:</v>
      </c>
      <c r="C64" s="841" t="e">
        <f>'FORMATO PROPUESTA ECONÓMICA'!#REF!</f>
        <v>#REF!</v>
      </c>
      <c r="D64" s="758"/>
      <c r="E64" s="732">
        <f>'FORMATO PROPUESTA ECONÓMICA'!A62</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971"/>
      <c r="O64" s="803"/>
      <c r="P64" s="39"/>
      <c r="Q64" s="755"/>
      <c r="R64" s="616"/>
    </row>
    <row r="65" spans="2:19" ht="30" x14ac:dyDescent="0.25">
      <c r="B65" s="750" t="str">
        <f>+'[3]1. Colector Principal'!C41</f>
        <v>S.T.I Lleno con triturado 3/4" (19mm) y 1" (25mm)</v>
      </c>
      <c r="C65" s="752" t="e">
        <f>'FORMATO PROPUESTA ECONÓMICA'!#REF!</f>
        <v>#REF!</v>
      </c>
      <c r="D65" s="756"/>
      <c r="E65" s="634">
        <f>'FORMATO PROPUESTA ECONÓMICA'!A63</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976">
        <f>(N69+N71)*6</f>
        <v>3756</v>
      </c>
      <c r="O65" s="623">
        <f>'FORMATO PROPUESTA ECONÓMICA'!E63</f>
        <v>0</v>
      </c>
      <c r="P65" s="629">
        <f t="shared" ref="P65:P79" si="3">IF(ISERROR(+N65*O65),"",+N65*O65)</f>
        <v>0</v>
      </c>
      <c r="Q65" s="755"/>
      <c r="R65" s="616"/>
    </row>
    <row r="66" spans="2:19" ht="30" hidden="1" x14ac:dyDescent="0.25">
      <c r="B66" s="750" t="str">
        <f>+'[3]1. Colector Principal'!C42</f>
        <v>S.T.I Lleno con arenilla 3/4" (19mm) y 1" (25mm)</v>
      </c>
      <c r="C66" s="752" t="e">
        <f>'FORMATO PROPUESTA ECONÓMICA'!#REF!</f>
        <v>#REF!</v>
      </c>
      <c r="D66" s="756"/>
      <c r="E66" s="634">
        <f>'FORMATO PROPUESTA ECONÓMICA'!A64</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976"/>
      <c r="O66" s="623">
        <f>'FORMATO PROPUESTA ECONÓMICA'!E64</f>
        <v>0</v>
      </c>
      <c r="P66" s="629">
        <f t="shared" si="3"/>
        <v>0</v>
      </c>
      <c r="Q66" s="755"/>
      <c r="R66" s="616"/>
    </row>
    <row r="67" spans="2:19" hidden="1" x14ac:dyDescent="0.25">
      <c r="B67" s="750"/>
      <c r="C67" s="752" t="e">
        <f>'FORMATO PROPUESTA ECONÓMICA'!#REF!</f>
        <v>#REF!</v>
      </c>
      <c r="D67" s="756"/>
      <c r="E67" s="634">
        <f>'FORMATO PROPUESTA ECONÓMICA'!A65</f>
        <v>7.3</v>
      </c>
      <c r="F67" s="633" t="s">
        <v>424</v>
      </c>
      <c r="G67" s="628" t="s">
        <v>79</v>
      </c>
      <c r="H67" s="629"/>
      <c r="I67" s="630"/>
      <c r="J67" s="631"/>
      <c r="K67" s="630"/>
      <c r="L67" s="630"/>
      <c r="M67" s="630"/>
      <c r="N67" s="976"/>
      <c r="O67" s="623">
        <f>'FORMATO PROPUESTA ECONÓMICA'!E65</f>
        <v>0</v>
      </c>
      <c r="P67" s="629">
        <f t="shared" si="3"/>
        <v>0</v>
      </c>
      <c r="Q67" s="755"/>
      <c r="R67" s="616"/>
    </row>
    <row r="68" spans="2:19" hidden="1" x14ac:dyDescent="0.25">
      <c r="B68" s="750"/>
      <c r="C68" s="752" t="e">
        <f>'FORMATO PROPUESTA ECONÓMICA'!#REF!</f>
        <v>#REF!</v>
      </c>
      <c r="D68" s="756"/>
      <c r="E68" s="634">
        <f>'FORMATO PROPUESTA ECONÓMICA'!A66</f>
        <v>7.4</v>
      </c>
      <c r="F68" s="633" t="s">
        <v>426</v>
      </c>
      <c r="G68" s="628" t="s">
        <v>79</v>
      </c>
      <c r="H68" s="629"/>
      <c r="I68" s="630"/>
      <c r="J68" s="631"/>
      <c r="K68" s="630"/>
      <c r="L68" s="630"/>
      <c r="M68" s="630"/>
      <c r="N68" s="976"/>
      <c r="O68" s="623">
        <f>'FORMATO PROPUESTA ECONÓMICA'!E66</f>
        <v>0</v>
      </c>
      <c r="P68" s="629">
        <f t="shared" si="3"/>
        <v>0</v>
      </c>
      <c r="Q68" s="755"/>
      <c r="R68" s="616"/>
    </row>
    <row r="69" spans="2:19" x14ac:dyDescent="0.25">
      <c r="B69" s="750"/>
      <c r="C69" s="752" t="e">
        <f>'FORMATO PROPUESTA ECONÓMICA'!#REF!</f>
        <v>#REF!</v>
      </c>
      <c r="D69" s="756"/>
      <c r="E69" s="634">
        <f>'FORMATO PROPUESTA ECONÓMICA'!A67</f>
        <v>7.5</v>
      </c>
      <c r="F69" s="633" t="s">
        <v>425</v>
      </c>
      <c r="G69" s="628" t="s">
        <v>79</v>
      </c>
      <c r="H69" s="629"/>
      <c r="I69" s="630"/>
      <c r="J69" s="631"/>
      <c r="K69" s="630"/>
      <c r="L69" s="630"/>
      <c r="M69" s="630"/>
      <c r="N69" s="976">
        <v>480</v>
      </c>
      <c r="O69" s="623">
        <f>'FORMATO PROPUESTA ECONÓMICA'!E67</f>
        <v>0</v>
      </c>
      <c r="P69" s="629">
        <f t="shared" si="3"/>
        <v>0</v>
      </c>
      <c r="Q69" s="755"/>
      <c r="R69" s="616"/>
    </row>
    <row r="70" spans="2:19" hidden="1" x14ac:dyDescent="0.25">
      <c r="B70" s="750"/>
      <c r="C70" s="752" t="e">
        <f>'FORMATO PROPUESTA ECONÓMICA'!#REF!</f>
        <v>#REF!</v>
      </c>
      <c r="D70" s="756"/>
      <c r="E70" s="634">
        <f>'FORMATO PROPUESTA ECONÓMICA'!A68</f>
        <v>7.6</v>
      </c>
      <c r="F70" s="633" t="s">
        <v>427</v>
      </c>
      <c r="G70" s="628" t="s">
        <v>79</v>
      </c>
      <c r="H70" s="629"/>
      <c r="I70" s="630"/>
      <c r="J70" s="631"/>
      <c r="K70" s="630"/>
      <c r="L70" s="630"/>
      <c r="M70" s="630"/>
      <c r="N70" s="976"/>
      <c r="O70" s="623">
        <f>'FORMATO PROPUESTA ECONÓMICA'!E68</f>
        <v>0</v>
      </c>
      <c r="P70" s="629">
        <f t="shared" si="3"/>
        <v>0</v>
      </c>
      <c r="Q70" s="755"/>
      <c r="R70" s="616"/>
    </row>
    <row r="71" spans="2:19" x14ac:dyDescent="0.25">
      <c r="B71" s="750"/>
      <c r="C71" s="752" t="e">
        <f>'FORMATO PROPUESTA ECONÓMICA'!#REF!</f>
        <v>#REF!</v>
      </c>
      <c r="D71" s="756"/>
      <c r="E71" s="634">
        <f>'FORMATO PROPUESTA ECONÓMICA'!A69</f>
        <v>7.7</v>
      </c>
      <c r="F71" s="633" t="s">
        <v>429</v>
      </c>
      <c r="G71" s="628" t="s">
        <v>79</v>
      </c>
      <c r="H71" s="629"/>
      <c r="I71" s="630"/>
      <c r="J71" s="631"/>
      <c r="K71" s="630"/>
      <c r="L71" s="630"/>
      <c r="M71" s="630"/>
      <c r="N71" s="963">
        <v>146</v>
      </c>
      <c r="O71" s="623">
        <f>'FORMATO PROPUESTA ECONÓMICA'!E69</f>
        <v>0</v>
      </c>
      <c r="P71" s="629">
        <f t="shared" si="3"/>
        <v>0</v>
      </c>
      <c r="Q71" s="755"/>
      <c r="R71" s="616"/>
    </row>
    <row r="72" spans="2:19" x14ac:dyDescent="0.25">
      <c r="B72" s="750"/>
      <c r="C72" s="752" t="e">
        <f>'FORMATO PROPUESTA ECONÓMICA'!#REF!</f>
        <v>#REF!</v>
      </c>
      <c r="D72" s="756"/>
      <c r="E72" s="634">
        <f>'FORMATO PROPUESTA ECONÓMICA'!A70</f>
        <v>7.8</v>
      </c>
      <c r="F72" s="633" t="s">
        <v>342</v>
      </c>
      <c r="G72" s="628" t="s">
        <v>79</v>
      </c>
      <c r="H72" s="629"/>
      <c r="I72" s="630"/>
      <c r="J72" s="631"/>
      <c r="K72" s="630"/>
      <c r="L72" s="630"/>
      <c r="M72" s="630"/>
      <c r="N72" s="976">
        <f>N69+N71</f>
        <v>626</v>
      </c>
      <c r="O72" s="623">
        <f>'FORMATO PROPUESTA ECONÓMICA'!E70</f>
        <v>0</v>
      </c>
      <c r="P72" s="629">
        <f t="shared" si="3"/>
        <v>0</v>
      </c>
      <c r="Q72" s="755"/>
      <c r="R72" s="616"/>
    </row>
    <row r="73" spans="2:19" hidden="1" x14ac:dyDescent="0.25">
      <c r="B73" s="750" t="str">
        <f>+'[3]1. Colector Principal'!C43</f>
        <v>Corte, rotura y retiro de pavimento:</v>
      </c>
      <c r="C73" s="752" t="e">
        <f>'FORMATO PROPUESTA ECONÓMICA'!#REF!</f>
        <v>#REF!</v>
      </c>
      <c r="D73" s="756"/>
      <c r="E73" s="620">
        <f>'FORMATO PROPUESTA ECONÓMICA'!A71</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976"/>
      <c r="O73" s="623">
        <f>'FORMATO PROPUESTA ECONÓMICA'!E71</f>
        <v>0</v>
      </c>
      <c r="P73" s="629">
        <f t="shared" si="3"/>
        <v>0</v>
      </c>
      <c r="Q73" s="755"/>
      <c r="R73" s="616"/>
    </row>
    <row r="74" spans="2:19" x14ac:dyDescent="0.25">
      <c r="B74" s="750" t="str">
        <f>+'[3]1. Colector Principal'!C44</f>
        <v>Corte, rotura y retiro de pavimento rigido</v>
      </c>
      <c r="C74" s="752" t="e">
        <f>'FORMATO PROPUESTA ECONÓMICA'!#REF!</f>
        <v>#REF!</v>
      </c>
      <c r="D74" s="756"/>
      <c r="E74" s="620">
        <f>'FORMATO PROPUESTA ECONÓMICA'!A72</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976">
        <v>80</v>
      </c>
      <c r="O74" s="623">
        <f>'FORMATO PROPUESTA ECONÓMICA'!E72</f>
        <v>0</v>
      </c>
      <c r="P74" s="629">
        <f t="shared" si="3"/>
        <v>0</v>
      </c>
      <c r="Q74" s="755"/>
      <c r="R74" s="616"/>
    </row>
    <row r="75" spans="2:19" x14ac:dyDescent="0.25">
      <c r="B75" s="750" t="str">
        <f>+'[3]1. Colector Principal'!C45</f>
        <v xml:space="preserve">Corte, rotura y retiro de pavimento flexible </v>
      </c>
      <c r="C75" s="752" t="e">
        <f>'FORMATO PROPUESTA ECONÓMICA'!#REF!</f>
        <v>#REF!</v>
      </c>
      <c r="D75" s="756"/>
      <c r="E75" s="620">
        <f>'FORMATO PROPUESTA ECONÓMICA'!A73</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976">
        <f>N76</f>
        <v>376</v>
      </c>
      <c r="O75" s="623">
        <f>'FORMATO PROPUESTA ECONÓMICA'!E73</f>
        <v>0</v>
      </c>
      <c r="P75" s="629">
        <f t="shared" si="3"/>
        <v>0</v>
      </c>
      <c r="Q75" s="755"/>
      <c r="R75" s="616"/>
    </row>
    <row r="76" spans="2:19" ht="90" x14ac:dyDescent="0.25">
      <c r="C76" s="752" t="e">
        <f>'FORMATO PROPUESTA ECONÓMICA'!#REF!</f>
        <v>#REF!</v>
      </c>
      <c r="D76" s="756"/>
      <c r="E76" s="620">
        <f>'FORMATO PROPUESTA ECONÓMICA'!A74</f>
        <v>7.12</v>
      </c>
      <c r="F76" s="633" t="s">
        <v>353</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976">
        <v>376</v>
      </c>
      <c r="O76" s="623">
        <f>'FORMATO PROPUESTA ECONÓMICA'!E74</f>
        <v>0</v>
      </c>
      <c r="P76" s="623">
        <f t="shared" si="3"/>
        <v>0</v>
      </c>
      <c r="Q76" s="755"/>
      <c r="R76" s="616"/>
      <c r="S76" s="755"/>
    </row>
    <row r="77" spans="2:19" x14ac:dyDescent="0.25">
      <c r="B77" s="750" t="str">
        <f>+'[3]1. Colector Principal'!C47</f>
        <v>Pavimento rigido</v>
      </c>
      <c r="C77" s="752" t="e">
        <f>'FORMATO PROPUESTA ECONÓMICA'!#REF!</f>
        <v>#REF!</v>
      </c>
      <c r="D77" s="756"/>
      <c r="E77" s="620">
        <f>'FORMATO PROPUESTA ECONÓMICA'!A75</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976">
        <f>N76</f>
        <v>376</v>
      </c>
      <c r="O77" s="623">
        <f>'FORMATO PROPUESTA ECONÓMICA'!E75</f>
        <v>0</v>
      </c>
      <c r="P77" s="629">
        <f t="shared" si="3"/>
        <v>0</v>
      </c>
      <c r="Q77" s="755"/>
      <c r="R77" s="616"/>
      <c r="S77" s="755"/>
    </row>
    <row r="78" spans="2:19" x14ac:dyDescent="0.25">
      <c r="B78" s="750" t="str">
        <f>+'[3]1. Colector Principal'!C48</f>
        <v xml:space="preserve">Pavimento flexible </v>
      </c>
      <c r="C78" s="752" t="e">
        <f>'FORMATO PROPUESTA ECONÓMICA'!#REF!</f>
        <v>#REF!</v>
      </c>
      <c r="D78" s="756"/>
      <c r="E78" s="620">
        <f>'FORMATO PROPUESTA ECONÓMICA'!A76</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976">
        <f>+N76</f>
        <v>376</v>
      </c>
      <c r="O78" s="623">
        <f>'FORMATO PROPUESTA ECONÓMICA'!E76</f>
        <v>0</v>
      </c>
      <c r="P78" s="629">
        <f t="shared" si="3"/>
        <v>0</v>
      </c>
      <c r="Q78" s="755"/>
      <c r="R78" s="616"/>
    </row>
    <row r="79" spans="2:19" x14ac:dyDescent="0.25">
      <c r="B79" s="750" t="str">
        <f>+'[3]5.Domiciliarias Colector La Yuq'!C16</f>
        <v>Reparación de andén en concreto</v>
      </c>
      <c r="C79" s="752" t="e">
        <f>'FORMATO PROPUESTA ECONÓMICA'!#REF!</f>
        <v>#REF!</v>
      </c>
      <c r="D79" s="756"/>
      <c r="E79" s="620">
        <f>'FORMATO PROPUESTA ECONÓMICA'!A77</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976">
        <f>+N77</f>
        <v>376</v>
      </c>
      <c r="O79" s="623">
        <f>'FORMATO PROPUESTA ECONÓMICA'!E77</f>
        <v>0</v>
      </c>
      <c r="P79" s="629">
        <f t="shared" si="3"/>
        <v>0</v>
      </c>
      <c r="Q79" s="755"/>
      <c r="R79" s="616"/>
    </row>
    <row r="80" spans="2:19" x14ac:dyDescent="0.25">
      <c r="B80" s="750"/>
      <c r="C80" s="841" t="e">
        <f>'FORMATO PROPUESTA ECONÓMICA'!#REF!</f>
        <v>#REF!</v>
      </c>
      <c r="D80" s="758"/>
      <c r="E80" s="732">
        <f>'FORMATO PROPUESTA ECONÓMICA'!A78</f>
        <v>8</v>
      </c>
      <c r="F80" s="770" t="s">
        <v>349</v>
      </c>
      <c r="G80" s="44"/>
      <c r="H80" s="39"/>
      <c r="I80" s="40"/>
      <c r="J80" s="41"/>
      <c r="K80" s="40"/>
      <c r="L80" s="40"/>
      <c r="M80" s="40"/>
      <c r="N80" s="962"/>
      <c r="O80" s="803"/>
      <c r="P80" s="39"/>
      <c r="Q80" s="755"/>
      <c r="R80" s="616"/>
    </row>
    <row r="81" spans="2:19" x14ac:dyDescent="0.25">
      <c r="B81" s="750"/>
      <c r="C81" s="752" t="e">
        <f>'FORMATO PROPUESTA ECONÓMICA'!#REF!</f>
        <v>#REF!</v>
      </c>
      <c r="D81" s="756"/>
      <c r="E81" s="634">
        <f>'FORMATO PROPUESTA ECONÓMICA'!A79</f>
        <v>8.1</v>
      </c>
      <c r="F81" s="633" t="s">
        <v>83</v>
      </c>
      <c r="G81" s="628" t="s">
        <v>79</v>
      </c>
      <c r="H81" s="629"/>
      <c r="I81" s="630"/>
      <c r="J81" s="631"/>
      <c r="K81" s="630"/>
      <c r="L81" s="630"/>
      <c r="M81" s="630"/>
      <c r="N81" s="977">
        <v>4</v>
      </c>
      <c r="O81" s="623">
        <f>'FORMATO PROPUESTA ECONÓMICA'!E79</f>
        <v>0</v>
      </c>
      <c r="P81" s="629">
        <f t="shared" ref="P81:P101" si="6">IF(ISERROR(+N81*O81),"",+N81*O81)</f>
        <v>0</v>
      </c>
      <c r="Q81" s="755"/>
      <c r="R81" s="616"/>
    </row>
    <row r="82" spans="2:19" hidden="1" x14ac:dyDescent="0.25">
      <c r="B82" s="750"/>
      <c r="C82" s="752" t="e">
        <f>'FORMATO PROPUESTA ECONÓMICA'!#REF!</f>
        <v>#REF!</v>
      </c>
      <c r="D82" s="756"/>
      <c r="E82" s="634">
        <f>'FORMATO PROPUESTA ECONÓMICA'!A80</f>
        <v>8.1999999999999993</v>
      </c>
      <c r="F82" s="633" t="s">
        <v>84</v>
      </c>
      <c r="G82" s="628" t="s">
        <v>79</v>
      </c>
      <c r="H82" s="629"/>
      <c r="I82" s="630"/>
      <c r="J82" s="631"/>
      <c r="K82" s="630"/>
      <c r="L82" s="630"/>
      <c r="M82" s="630"/>
      <c r="N82" s="977"/>
      <c r="O82" s="623">
        <f>'FORMATO PROPUESTA ECONÓMICA'!E80</f>
        <v>0</v>
      </c>
      <c r="P82" s="629">
        <f t="shared" si="6"/>
        <v>0</v>
      </c>
      <c r="Q82" s="755"/>
      <c r="R82" s="616"/>
    </row>
    <row r="83" spans="2:19" hidden="1" x14ac:dyDescent="0.25">
      <c r="B83" s="750"/>
      <c r="C83" s="752" t="e">
        <f>'FORMATO PROPUESTA ECONÓMICA'!#REF!</f>
        <v>#REF!</v>
      </c>
      <c r="D83" s="756"/>
      <c r="E83" s="634">
        <f>'FORMATO PROPUESTA ECONÓMICA'!A81</f>
        <v>8.3000000000000007</v>
      </c>
      <c r="F83" s="633" t="s">
        <v>85</v>
      </c>
      <c r="G83" s="628" t="s">
        <v>79</v>
      </c>
      <c r="H83" s="629"/>
      <c r="I83" s="630"/>
      <c r="J83" s="631"/>
      <c r="K83" s="630"/>
      <c r="L83" s="630"/>
      <c r="M83" s="630"/>
      <c r="N83" s="977"/>
      <c r="O83" s="623">
        <f>'FORMATO PROPUESTA ECONÓMICA'!E81</f>
        <v>0</v>
      </c>
      <c r="P83" s="629">
        <f t="shared" si="6"/>
        <v>0</v>
      </c>
      <c r="Q83" s="755"/>
      <c r="R83" s="616"/>
    </row>
    <row r="84" spans="2:19" hidden="1" x14ac:dyDescent="0.25">
      <c r="B84" s="750"/>
      <c r="C84" s="752" t="e">
        <f>'FORMATO PROPUESTA ECONÓMICA'!#REF!</f>
        <v>#REF!</v>
      </c>
      <c r="D84" s="756"/>
      <c r="E84" s="634">
        <f>'FORMATO PROPUESTA ECONÓMICA'!A82</f>
        <v>8.4</v>
      </c>
      <c r="F84" s="633" t="s">
        <v>86</v>
      </c>
      <c r="G84" s="628" t="s">
        <v>79</v>
      </c>
      <c r="H84" s="629"/>
      <c r="I84" s="630"/>
      <c r="J84" s="631"/>
      <c r="K84" s="630"/>
      <c r="L84" s="630"/>
      <c r="M84" s="630"/>
      <c r="N84" s="977"/>
      <c r="O84" s="623">
        <f>'FORMATO PROPUESTA ECONÓMICA'!E82</f>
        <v>0</v>
      </c>
      <c r="P84" s="629">
        <f t="shared" si="6"/>
        <v>0</v>
      </c>
      <c r="Q84" s="755"/>
      <c r="R84" s="616"/>
    </row>
    <row r="85" spans="2:19" ht="30" x14ac:dyDescent="0.25">
      <c r="B85" s="750"/>
      <c r="C85" s="752" t="e">
        <f>'FORMATO PROPUESTA ECONÓMICA'!#REF!</f>
        <v>#REF!</v>
      </c>
      <c r="D85" s="756"/>
      <c r="E85" s="634">
        <f>'FORMATO PROPUESTA ECONÓMICA'!A83</f>
        <v>8.5</v>
      </c>
      <c r="F85" s="633" t="s">
        <v>519</v>
      </c>
      <c r="G85" s="628" t="s">
        <v>79</v>
      </c>
      <c r="H85" s="629"/>
      <c r="I85" s="630"/>
      <c r="J85" s="631"/>
      <c r="K85" s="630"/>
      <c r="L85" s="630"/>
      <c r="M85" s="630"/>
      <c r="N85" s="978">
        <f>N76</f>
        <v>376</v>
      </c>
      <c r="O85" s="623">
        <f>'FORMATO PROPUESTA ECONÓMICA'!E83</f>
        <v>0</v>
      </c>
      <c r="P85" s="629">
        <f t="shared" si="6"/>
        <v>0</v>
      </c>
      <c r="Q85" s="755"/>
      <c r="R85" s="616"/>
    </row>
    <row r="86" spans="2:19" hidden="1" x14ac:dyDescent="0.25">
      <c r="B86" s="750"/>
      <c r="C86" s="752" t="e">
        <f>'FORMATO PROPUESTA ECONÓMICA'!#REF!</f>
        <v>#REF!</v>
      </c>
      <c r="D86" s="756"/>
      <c r="E86" s="634">
        <f>'FORMATO PROPUESTA ECONÓMICA'!A84</f>
        <v>8.6</v>
      </c>
      <c r="F86" s="633" t="s">
        <v>87</v>
      </c>
      <c r="G86" s="628" t="s">
        <v>79</v>
      </c>
      <c r="H86" s="629"/>
      <c r="I86" s="630"/>
      <c r="J86" s="631"/>
      <c r="K86" s="630"/>
      <c r="L86" s="630"/>
      <c r="M86" s="630"/>
      <c r="N86" s="977"/>
      <c r="O86" s="623">
        <f>'FORMATO PROPUESTA ECONÓMICA'!E84</f>
        <v>0</v>
      </c>
      <c r="P86" s="629">
        <f t="shared" si="6"/>
        <v>0</v>
      </c>
      <c r="Q86" s="755"/>
      <c r="R86" s="616"/>
    </row>
    <row r="87" spans="2:19" x14ac:dyDescent="0.25">
      <c r="B87" s="750"/>
      <c r="C87" s="752" t="e">
        <f>'FORMATO PROPUESTA ECONÓMICA'!#REF!</f>
        <v>#REF!</v>
      </c>
      <c r="D87" s="756"/>
      <c r="E87" s="634">
        <f>'FORMATO PROPUESTA ECONÓMICA'!A85</f>
        <v>8.6999999999999993</v>
      </c>
      <c r="F87" s="633" t="s">
        <v>88</v>
      </c>
      <c r="G87" s="628" t="s">
        <v>79</v>
      </c>
      <c r="H87" s="629"/>
      <c r="I87" s="630"/>
      <c r="J87" s="631"/>
      <c r="K87" s="630"/>
      <c r="L87" s="630"/>
      <c r="M87" s="630"/>
      <c r="N87" s="977">
        <f>2*N92</f>
        <v>12</v>
      </c>
      <c r="O87" s="623">
        <f>'FORMATO PROPUESTA ECONÓMICA'!E85</f>
        <v>0</v>
      </c>
      <c r="P87" s="629">
        <f t="shared" si="6"/>
        <v>0</v>
      </c>
      <c r="Q87" s="755"/>
      <c r="R87" s="616"/>
    </row>
    <row r="88" spans="2:19" hidden="1" x14ac:dyDescent="0.25">
      <c r="B88" s="750"/>
      <c r="C88" s="752" t="e">
        <f>'FORMATO PROPUESTA ECONÓMICA'!#REF!</f>
        <v>#REF!</v>
      </c>
      <c r="D88" s="756"/>
      <c r="E88" s="620">
        <f>'FORMATO PROPUESTA ECONÓMICA'!A86</f>
        <v>8.8000000000000007</v>
      </c>
      <c r="F88" s="633" t="s">
        <v>89</v>
      </c>
      <c r="G88" s="628" t="s">
        <v>79</v>
      </c>
      <c r="H88" s="629"/>
      <c r="I88" s="630"/>
      <c r="J88" s="631"/>
      <c r="K88" s="630"/>
      <c r="L88" s="630"/>
      <c r="M88" s="630"/>
      <c r="N88" s="977"/>
      <c r="O88" s="623">
        <f>'FORMATO PROPUESTA ECONÓMICA'!E86</f>
        <v>0</v>
      </c>
      <c r="P88" s="629">
        <f t="shared" si="6"/>
        <v>0</v>
      </c>
      <c r="Q88" s="755"/>
      <c r="R88" s="616"/>
    </row>
    <row r="89" spans="2:19" hidden="1" x14ac:dyDescent="0.25">
      <c r="B89" s="750"/>
      <c r="C89" s="752" t="e">
        <f>'FORMATO PROPUESTA ECONÓMICA'!#REF!</f>
        <v>#REF!</v>
      </c>
      <c r="D89" s="756"/>
      <c r="E89" s="620">
        <f>'FORMATO PROPUESTA ECONÓMICA'!A87</f>
        <v>8.9</v>
      </c>
      <c r="F89" s="633" t="s">
        <v>90</v>
      </c>
      <c r="G89" s="628" t="s">
        <v>79</v>
      </c>
      <c r="H89" s="629"/>
      <c r="I89" s="630"/>
      <c r="J89" s="631"/>
      <c r="K89" s="630"/>
      <c r="L89" s="630"/>
      <c r="M89" s="630"/>
      <c r="N89" s="977"/>
      <c r="O89" s="623">
        <f>'FORMATO PROPUESTA ECONÓMICA'!E87</f>
        <v>0</v>
      </c>
      <c r="P89" s="629">
        <f t="shared" si="6"/>
        <v>0</v>
      </c>
      <c r="Q89" s="755"/>
      <c r="R89" s="616"/>
    </row>
    <row r="90" spans="2:19" hidden="1" x14ac:dyDescent="0.25">
      <c r="B90" s="750"/>
      <c r="C90" s="752" t="e">
        <f>'FORMATO PROPUESTA ECONÓMICA'!#REF!</f>
        <v>#REF!</v>
      </c>
      <c r="D90" s="756"/>
      <c r="E90" s="620">
        <f>'FORMATO PROPUESTA ECONÓMICA'!A88</f>
        <v>8.1</v>
      </c>
      <c r="F90" s="633" t="s">
        <v>91</v>
      </c>
      <c r="G90" s="628" t="s">
        <v>79</v>
      </c>
      <c r="H90" s="629"/>
      <c r="I90" s="630"/>
      <c r="J90" s="631"/>
      <c r="K90" s="630"/>
      <c r="L90" s="630"/>
      <c r="M90" s="630"/>
      <c r="N90" s="977"/>
      <c r="O90" s="623">
        <f>'FORMATO PROPUESTA ECONÓMICA'!E88</f>
        <v>0</v>
      </c>
      <c r="P90" s="629">
        <f t="shared" si="6"/>
        <v>0</v>
      </c>
      <c r="Q90" s="755"/>
      <c r="R90" s="616"/>
    </row>
    <row r="91" spans="2:19" ht="30" hidden="1" x14ac:dyDescent="0.25">
      <c r="B91" s="750"/>
      <c r="C91" s="752" t="e">
        <f>'FORMATO PROPUESTA ECONÓMICA'!#REF!</f>
        <v>#REF!</v>
      </c>
      <c r="D91" s="756"/>
      <c r="E91" s="620">
        <f>'FORMATO PROPUESTA ECONÓMICA'!A89</f>
        <v>8.11</v>
      </c>
      <c r="F91" s="633" t="s">
        <v>92</v>
      </c>
      <c r="G91" s="628" t="s">
        <v>79</v>
      </c>
      <c r="H91" s="629"/>
      <c r="I91" s="630"/>
      <c r="J91" s="631"/>
      <c r="K91" s="630"/>
      <c r="L91" s="630"/>
      <c r="M91" s="630"/>
      <c r="N91" s="977"/>
      <c r="O91" s="623">
        <f>'FORMATO PROPUESTA ECONÓMICA'!E89</f>
        <v>0</v>
      </c>
      <c r="P91" s="629">
        <f t="shared" si="6"/>
        <v>0</v>
      </c>
      <c r="Q91" s="755"/>
      <c r="R91" s="616"/>
    </row>
    <row r="92" spans="2:19" ht="30" x14ac:dyDescent="0.25">
      <c r="B92" s="750"/>
      <c r="C92" s="752" t="e">
        <f>'FORMATO PROPUESTA ECONÓMICA'!#REF!</f>
        <v>#REF!</v>
      </c>
      <c r="D92" s="756"/>
      <c r="E92" s="620">
        <f>'FORMATO PROPUESTA ECONÓMICA'!A90</f>
        <v>8.1199999999999992</v>
      </c>
      <c r="F92" s="633" t="s">
        <v>93</v>
      </c>
      <c r="G92" s="628" t="s">
        <v>79</v>
      </c>
      <c r="H92" s="629"/>
      <c r="I92" s="630"/>
      <c r="J92" s="631"/>
      <c r="K92" s="630"/>
      <c r="L92" s="630"/>
      <c r="M92" s="630"/>
      <c r="N92" s="977">
        <v>6</v>
      </c>
      <c r="O92" s="623">
        <f>'FORMATO PROPUESTA ECONÓMICA'!E90</f>
        <v>0</v>
      </c>
      <c r="P92" s="629">
        <f t="shared" si="6"/>
        <v>0</v>
      </c>
      <c r="Q92" s="755"/>
      <c r="R92" s="616"/>
    </row>
    <row r="93" spans="2:19" ht="30" hidden="1" x14ac:dyDescent="0.25">
      <c r="B93" s="750"/>
      <c r="C93" s="752" t="e">
        <f>'FORMATO PROPUESTA ECONÓMICA'!#REF!</f>
        <v>#REF!</v>
      </c>
      <c r="D93" s="756"/>
      <c r="E93" s="620">
        <f>'FORMATO PROPUESTA ECONÓMICA'!A91</f>
        <v>8.1300000000000008</v>
      </c>
      <c r="F93" s="633" t="s">
        <v>94</v>
      </c>
      <c r="G93" s="628" t="s">
        <v>79</v>
      </c>
      <c r="H93" s="629"/>
      <c r="I93" s="630"/>
      <c r="J93" s="631"/>
      <c r="K93" s="630"/>
      <c r="L93" s="630"/>
      <c r="M93" s="630"/>
      <c r="N93" s="977"/>
      <c r="O93" s="623">
        <f>'FORMATO PROPUESTA ECONÓMICA'!E91</f>
        <v>0</v>
      </c>
      <c r="P93" s="629">
        <f t="shared" si="6"/>
        <v>0</v>
      </c>
      <c r="Q93" s="755"/>
      <c r="R93" s="616"/>
      <c r="S93" s="755"/>
    </row>
    <row r="94" spans="2:19" ht="30" hidden="1" x14ac:dyDescent="0.25">
      <c r="B94" s="750"/>
      <c r="C94" s="752" t="e">
        <f>'FORMATO PROPUESTA ECONÓMICA'!#REF!</f>
        <v>#REF!</v>
      </c>
      <c r="D94" s="756"/>
      <c r="E94" s="620">
        <f>'FORMATO PROPUESTA ECONÓMICA'!A92</f>
        <v>8.14</v>
      </c>
      <c r="F94" s="633" t="s">
        <v>95</v>
      </c>
      <c r="G94" s="628" t="s">
        <v>79</v>
      </c>
      <c r="H94" s="629"/>
      <c r="I94" s="630"/>
      <c r="J94" s="631"/>
      <c r="K94" s="630"/>
      <c r="L94" s="630"/>
      <c r="M94" s="630"/>
      <c r="N94" s="977"/>
      <c r="O94" s="623">
        <f>'FORMATO PROPUESTA ECONÓMICA'!E92</f>
        <v>0</v>
      </c>
      <c r="P94" s="629">
        <f t="shared" si="6"/>
        <v>0</v>
      </c>
      <c r="Q94" s="755"/>
      <c r="R94" s="616"/>
      <c r="S94" s="755"/>
    </row>
    <row r="95" spans="2:19" ht="30" hidden="1" x14ac:dyDescent="0.25">
      <c r="B95" s="750"/>
      <c r="C95" s="752" t="e">
        <f>'FORMATO PROPUESTA ECONÓMICA'!#REF!</f>
        <v>#REF!</v>
      </c>
      <c r="D95" s="756"/>
      <c r="E95" s="620">
        <f>'FORMATO PROPUESTA ECONÓMICA'!A93</f>
        <v>8.15</v>
      </c>
      <c r="F95" s="633" t="s">
        <v>96</v>
      </c>
      <c r="G95" s="628" t="s">
        <v>79</v>
      </c>
      <c r="H95" s="629"/>
      <c r="I95" s="630"/>
      <c r="J95" s="631"/>
      <c r="K95" s="630"/>
      <c r="L95" s="630"/>
      <c r="M95" s="630"/>
      <c r="N95" s="977"/>
      <c r="O95" s="623">
        <f>'FORMATO PROPUESTA ECONÓMICA'!E93</f>
        <v>0</v>
      </c>
      <c r="P95" s="629">
        <f t="shared" si="6"/>
        <v>0</v>
      </c>
      <c r="Q95" s="755"/>
      <c r="R95" s="616"/>
    </row>
    <row r="96" spans="2:19" ht="30" hidden="1" x14ac:dyDescent="0.25">
      <c r="B96" s="750"/>
      <c r="C96" s="752" t="e">
        <f>'FORMATO PROPUESTA ECONÓMICA'!#REF!</f>
        <v>#REF!</v>
      </c>
      <c r="D96" s="756"/>
      <c r="E96" s="620">
        <f>'FORMATO PROPUESTA ECONÓMICA'!A94</f>
        <v>8.16</v>
      </c>
      <c r="F96" s="731" t="s">
        <v>463</v>
      </c>
      <c r="G96" s="628" t="s">
        <v>79</v>
      </c>
      <c r="H96" s="629"/>
      <c r="I96" s="630"/>
      <c r="J96" s="631"/>
      <c r="K96" s="630"/>
      <c r="L96" s="630"/>
      <c r="M96" s="630"/>
      <c r="N96" s="977"/>
      <c r="O96" s="623">
        <f>'FORMATO PROPUESTA ECONÓMICA'!E94</f>
        <v>0</v>
      </c>
      <c r="P96" s="629">
        <f t="shared" si="6"/>
        <v>0</v>
      </c>
      <c r="Q96" s="755"/>
      <c r="R96" s="616"/>
    </row>
    <row r="97" spans="2:19" ht="60" x14ac:dyDescent="0.25">
      <c r="B97" s="750"/>
      <c r="C97" s="841"/>
      <c r="D97" s="758"/>
      <c r="E97" s="732">
        <f>'FORMATO PROPUESTA ECONÓMICA'!A95</f>
        <v>9</v>
      </c>
      <c r="F97" s="43" t="s">
        <v>447</v>
      </c>
      <c r="G97" s="44"/>
      <c r="H97" s="39"/>
      <c r="I97" s="40"/>
      <c r="J97" s="41"/>
      <c r="K97" s="40"/>
      <c r="L97" s="40"/>
      <c r="M97" s="40"/>
      <c r="N97" s="979"/>
      <c r="O97" s="803"/>
      <c r="P97" s="39"/>
      <c r="Q97" s="755"/>
      <c r="R97" s="616"/>
    </row>
    <row r="98" spans="2:19" hidden="1" x14ac:dyDescent="0.25">
      <c r="B98" s="750"/>
      <c r="C98" s="752"/>
      <c r="D98" s="756"/>
      <c r="E98" s="634">
        <f>'FORMATO PROPUESTA ECONÓMICA'!A96</f>
        <v>9.1</v>
      </c>
      <c r="F98" s="743" t="s">
        <v>450</v>
      </c>
      <c r="G98" s="628" t="s">
        <v>79</v>
      </c>
      <c r="H98" s="629"/>
      <c r="I98" s="630"/>
      <c r="J98" s="631"/>
      <c r="K98" s="630"/>
      <c r="L98" s="630"/>
      <c r="M98" s="630"/>
      <c r="N98" s="977"/>
      <c r="O98" s="803"/>
      <c r="P98" s="629">
        <f t="shared" si="6"/>
        <v>0</v>
      </c>
      <c r="Q98" s="755"/>
      <c r="R98" s="616"/>
    </row>
    <row r="99" spans="2:19" hidden="1" x14ac:dyDescent="0.25">
      <c r="B99" s="750"/>
      <c r="C99" s="752"/>
      <c r="D99" s="756"/>
      <c r="E99" s="634" t="e">
        <f>'FORMATO PROPUESTA ECONÓMICA'!#REF!</f>
        <v>#REF!</v>
      </c>
      <c r="F99" s="743" t="s">
        <v>451</v>
      </c>
      <c r="G99" s="628" t="s">
        <v>79</v>
      </c>
      <c r="H99" s="629"/>
      <c r="I99" s="630"/>
      <c r="J99" s="631"/>
      <c r="K99" s="630"/>
      <c r="L99" s="630"/>
      <c r="M99" s="630"/>
      <c r="N99" s="977"/>
      <c r="O99" s="803"/>
      <c r="P99" s="629">
        <f t="shared" si="6"/>
        <v>0</v>
      </c>
      <c r="Q99" s="755"/>
      <c r="R99" s="616"/>
    </row>
    <row r="100" spans="2:19" x14ac:dyDescent="0.25">
      <c r="B100" s="750"/>
      <c r="C100" s="841"/>
      <c r="D100" s="758"/>
      <c r="E100" s="732">
        <f>'FORMATO PROPUESTA ECONÓMICA'!A125</f>
        <v>10</v>
      </c>
      <c r="F100" s="770" t="s">
        <v>97</v>
      </c>
      <c r="G100" s="44"/>
      <c r="H100" s="39"/>
      <c r="I100" s="40"/>
      <c r="J100" s="41"/>
      <c r="K100" s="40"/>
      <c r="L100" s="40"/>
      <c r="M100" s="40"/>
      <c r="N100" s="971"/>
      <c r="O100" s="803"/>
      <c r="P100" s="39"/>
      <c r="Q100" s="755"/>
      <c r="R100" s="616"/>
    </row>
    <row r="101" spans="2:19" ht="45" hidden="1" x14ac:dyDescent="0.25">
      <c r="B101" s="750"/>
      <c r="C101" s="842"/>
      <c r="D101" s="775"/>
      <c r="E101" s="620" t="str">
        <f>'FORMATO PROPUESTA ECONÓMICA'!A126</f>
        <v>10.1</v>
      </c>
      <c r="F101" s="32" t="s">
        <v>453</v>
      </c>
      <c r="G101" s="714" t="s">
        <v>79</v>
      </c>
      <c r="H101" s="716"/>
      <c r="I101" s="717"/>
      <c r="J101" s="718"/>
      <c r="K101" s="717"/>
      <c r="L101" s="717"/>
      <c r="M101" s="717"/>
      <c r="N101" s="975"/>
      <c r="O101" s="623">
        <f>'FORMATO PROPUESTA ECONÓMICA'!E126</f>
        <v>0</v>
      </c>
      <c r="P101" s="629">
        <f t="shared" si="6"/>
        <v>0</v>
      </c>
      <c r="Q101" s="755"/>
      <c r="R101" s="616"/>
    </row>
    <row r="102" spans="2:19" ht="60" x14ac:dyDescent="0.25">
      <c r="B102" s="750"/>
      <c r="C102" s="752" t="e">
        <f>'FORMATO PROPUESTA ECONÓMICA'!#REF!</f>
        <v>#REF!</v>
      </c>
      <c r="D102" s="753"/>
      <c r="E102" s="634">
        <f>'FORMATO PROPUESTA ECONÓMICA'!A127</f>
        <v>10.199999999999999</v>
      </c>
      <c r="F102" s="32" t="s">
        <v>444</v>
      </c>
      <c r="G102" s="628" t="s">
        <v>79</v>
      </c>
      <c r="H102" s="629"/>
      <c r="I102" s="630"/>
      <c r="J102" s="631"/>
      <c r="K102" s="630"/>
      <c r="L102" s="630"/>
      <c r="M102" s="630"/>
      <c r="N102" s="906">
        <f>N76</f>
        <v>376</v>
      </c>
      <c r="O102" s="623">
        <f>'FORMATO PROPUESTA ECONÓMICA'!E127</f>
        <v>0</v>
      </c>
      <c r="P102" s="629">
        <f>IF(ISERROR(+N102*O102),"",+N102*O102)</f>
        <v>0</v>
      </c>
      <c r="Q102" s="755"/>
      <c r="R102" s="616"/>
    </row>
    <row r="103" spans="2:19" ht="60" x14ac:dyDescent="0.25">
      <c r="B103" s="750" t="str">
        <f>+'[3]5.Domiciliarias Colector La Yuq'!C18</f>
        <v>Reparación de pavimento</v>
      </c>
      <c r="C103" s="752" t="e">
        <f>'FORMATO PROPUESTA ECONÓMICA'!#REF!</f>
        <v>#REF!</v>
      </c>
      <c r="D103" s="753"/>
      <c r="E103" s="620" t="str">
        <f>'FORMATO PROPUESTA ECONÓMICA'!A128</f>
        <v>10.3</v>
      </c>
      <c r="F103" s="633" t="s">
        <v>98</v>
      </c>
      <c r="G103" s="628" t="s">
        <v>79</v>
      </c>
      <c r="H103" s="629">
        <f>IF(ISERROR(VLOOKUP($D103,[4]Ppto!$A$3:$F$100,4,)),0,VLOOKUP($D103,[4]Ppto!$A$3:$F$100,4,))</f>
        <v>0</v>
      </c>
      <c r="I103" s="630">
        <f>IF(ISERROR(VLOOKUP($D103,[4]Ppto!$A$3:$F$100,5,)),0,VLOOKUP($D103,[4]Ppto!$A$3:$F$100,5,))</f>
        <v>0</v>
      </c>
      <c r="J103" s="631">
        <v>1</v>
      </c>
      <c r="K103" s="630">
        <f t="shared" ref="K103:K110" si="7">+I103-O103</f>
        <v>0</v>
      </c>
      <c r="L103" s="630">
        <f t="shared" si="0"/>
        <v>0</v>
      </c>
      <c r="M103" s="630">
        <f t="shared" ref="M103:M110" si="8">+L103-P103</f>
        <v>0</v>
      </c>
      <c r="N103" s="897">
        <f>+N92</f>
        <v>6</v>
      </c>
      <c r="O103" s="623">
        <f>'FORMATO PROPUESTA ECONÓMICA'!E128</f>
        <v>0</v>
      </c>
      <c r="P103" s="629">
        <f>IF(ISERROR(+N103*O103),"",+N103*O103)</f>
        <v>0</v>
      </c>
      <c r="Q103" s="755"/>
      <c r="R103" s="616"/>
    </row>
    <row r="104" spans="2:19" x14ac:dyDescent="0.25">
      <c r="B104" s="777" t="str">
        <f>+'[3]5.Domiciliarias Colector La Yuq'!C19</f>
        <v>Construcción de pavimento</v>
      </c>
      <c r="C104" s="752" t="e">
        <f>'FORMATO PROPUESTA ECONÓMICA'!#REF!</f>
        <v>#REF!</v>
      </c>
      <c r="D104" s="753"/>
      <c r="E104" s="620" t="str">
        <f>'FORMATO PROPUESTA ECONÓMICA'!A129</f>
        <v>10.4</v>
      </c>
      <c r="F104" s="633" t="s">
        <v>99</v>
      </c>
      <c r="G104" s="628" t="s">
        <v>59</v>
      </c>
      <c r="H104" s="629">
        <f>IF(ISERROR(VLOOKUP($D104,[4]Ppto!$A$3:$F$100,4,)),0,VLOOKUP($D104,[4]Ppto!$A$3:$F$100,4,))</f>
        <v>0</v>
      </c>
      <c r="I104" s="630">
        <f>IF(ISERROR(VLOOKUP($D104,[4]Ppto!$A$3:$F$100,5,)),0,VLOOKUP($D104,[4]Ppto!$A$3:$F$100,5,))</f>
        <v>0</v>
      </c>
      <c r="J104" s="631">
        <v>1</v>
      </c>
      <c r="K104" s="630">
        <f t="shared" si="7"/>
        <v>0</v>
      </c>
      <c r="L104" s="630">
        <f t="shared" si="0"/>
        <v>0</v>
      </c>
      <c r="M104" s="630">
        <f t="shared" si="8"/>
        <v>0</v>
      </c>
      <c r="N104" s="895">
        <f>N36+N37</f>
        <v>3998.6</v>
      </c>
      <c r="O104" s="623">
        <f>'FORMATO PROPUESTA ECONÓMICA'!E129</f>
        <v>0</v>
      </c>
      <c r="P104" s="629">
        <f>IF(ISERROR(+N104*O104),"",+N104*O104)</f>
        <v>0</v>
      </c>
      <c r="Q104" s="755"/>
      <c r="R104" s="616"/>
    </row>
    <row r="105" spans="2:19" x14ac:dyDescent="0.25">
      <c r="B105" s="777" t="str">
        <f>+'[3]5.Domiciliarias Colector La Yuq'!C20</f>
        <v>Construcción de cajas  0.6x0.6x0.8 m</v>
      </c>
      <c r="C105" s="752" t="e">
        <f>'FORMATO PROPUESTA ECONÓMICA'!#REF!</f>
        <v>#REF!</v>
      </c>
      <c r="D105" s="753"/>
      <c r="E105" s="620">
        <f>'FORMATO PROPUESTA ECONÓMICA'!A130</f>
        <v>10.5</v>
      </c>
      <c r="F105" s="633" t="s">
        <v>100</v>
      </c>
      <c r="G105" s="628" t="s">
        <v>15</v>
      </c>
      <c r="H105" s="629">
        <f>IF(ISERROR(VLOOKUP($D105,[4]Ppto!$A$3:$F$100,4,)),0,VLOOKUP($D105,[4]Ppto!$A$3:$F$100,4,))</f>
        <v>0</v>
      </c>
      <c r="I105" s="630">
        <f>IF(ISERROR(VLOOKUP($D105,[4]Ppto!$A$3:$F$100,5,)),0,VLOOKUP($D105,[4]Ppto!$A$3:$F$100,5,))</f>
        <v>0</v>
      </c>
      <c r="J105" s="631">
        <v>1</v>
      </c>
      <c r="K105" s="630">
        <f t="shared" si="7"/>
        <v>0</v>
      </c>
      <c r="L105" s="630">
        <f t="shared" si="0"/>
        <v>0</v>
      </c>
      <c r="M105" s="630">
        <f t="shared" si="8"/>
        <v>0</v>
      </c>
      <c r="N105" s="953">
        <v>0.4</v>
      </c>
      <c r="O105" s="623">
        <f>'FORMATO PROPUESTA ECONÓMICA'!E130</f>
        <v>0</v>
      </c>
      <c r="P105" s="629">
        <f>IF(ISERROR(+N105*O105),"",+N105*O105)</f>
        <v>0</v>
      </c>
      <c r="Q105" s="755"/>
      <c r="R105" s="616"/>
    </row>
    <row r="106" spans="2:19" ht="45" hidden="1" x14ac:dyDescent="0.25">
      <c r="B106" s="777" t="str">
        <f>+'[3]5.Domiciliarias Colector La Yuq'!C21</f>
        <v>De empalme en andén o zona verde, para domiciliarias de alcantarillado.  Incluye acabado de la tapa según andén existente</v>
      </c>
      <c r="C106" s="752" t="e">
        <f>'FORMATO PROPUESTA ECONÓMICA'!#REF!</f>
        <v>#REF!</v>
      </c>
      <c r="D106" s="753"/>
      <c r="E106" s="620">
        <f>'FORMATO PROPUESTA ECONÓMICA'!A131</f>
        <v>10.6</v>
      </c>
      <c r="F106" s="633" t="s">
        <v>101</v>
      </c>
      <c r="G106" s="628" t="s">
        <v>352</v>
      </c>
      <c r="H106" s="629">
        <f>IF(ISERROR(VLOOKUP($D106,[4]Ppto!$A$3:$F$100,4,)),0,VLOOKUP($D106,[4]Ppto!$A$3:$F$100,4,))</f>
        <v>0</v>
      </c>
      <c r="I106" s="630">
        <f>IF(ISERROR(VLOOKUP($D106,[4]Ppto!$A$3:$F$100,5,)),0,VLOOKUP($D106,[4]Ppto!$A$3:$F$100,5,))</f>
        <v>0</v>
      </c>
      <c r="J106" s="631">
        <v>1</v>
      </c>
      <c r="K106" s="630">
        <f t="shared" si="7"/>
        <v>0</v>
      </c>
      <c r="L106" s="630">
        <f t="shared" si="0"/>
        <v>0</v>
      </c>
      <c r="M106" s="630">
        <f t="shared" si="8"/>
        <v>0</v>
      </c>
      <c r="N106" s="946"/>
      <c r="O106" s="623">
        <f>'FORMATO PROPUESTA ECONÓMICA'!E131</f>
        <v>0</v>
      </c>
      <c r="P106" s="629">
        <f t="shared" ref="P106:P107" si="9">IF(ISERROR(+N106*O106),"",+N106*O106)</f>
        <v>0</v>
      </c>
      <c r="Q106" s="755"/>
      <c r="R106" s="616"/>
      <c r="S106" s="755"/>
    </row>
    <row r="107" spans="2:19" ht="30" hidden="1" x14ac:dyDescent="0.25">
      <c r="B107" s="777"/>
      <c r="C107" s="752"/>
      <c r="D107" s="753"/>
      <c r="E107" s="620">
        <f>'FORMATO PROPUESTA ECONÓMICA'!A132</f>
        <v>10.7</v>
      </c>
      <c r="F107" s="633" t="s">
        <v>465</v>
      </c>
      <c r="G107" s="628" t="s">
        <v>16</v>
      </c>
      <c r="H107" s="629"/>
      <c r="I107" s="630"/>
      <c r="J107" s="631"/>
      <c r="K107" s="630"/>
      <c r="L107" s="630"/>
      <c r="M107" s="630"/>
      <c r="N107" s="946"/>
      <c r="O107" s="623">
        <f>'FORMATO PROPUESTA ECONÓMICA'!E132</f>
        <v>0</v>
      </c>
      <c r="P107" s="629">
        <f t="shared" si="9"/>
        <v>0</v>
      </c>
      <c r="Q107" s="755"/>
      <c r="R107" s="616"/>
      <c r="S107" s="755"/>
    </row>
    <row r="108" spans="2:19" x14ac:dyDescent="0.25">
      <c r="B108" s="750" t="str">
        <f>+'[3]1. Colector Principal'!C51</f>
        <v>Suministro e Intalación de geotextil para la protección del lleno en la zanja</v>
      </c>
      <c r="C108" s="841" t="e">
        <f>'FORMATO PROPUESTA ECONÓMICA'!#REF!</f>
        <v>#REF!</v>
      </c>
      <c r="D108" s="758"/>
      <c r="E108" s="732">
        <f>'FORMATO PROPUESTA ECONÓMICA'!A133</f>
        <v>11</v>
      </c>
      <c r="F108" s="778" t="s">
        <v>102</v>
      </c>
      <c r="G108" s="779"/>
      <c r="H108" s="39">
        <f>IF(ISERROR(VLOOKUP($D108,[4]Ppto!$A$3:$F$100,4,)),0,VLOOKUP($D108,[4]Ppto!$A$3:$F$100,4,))</f>
        <v>0</v>
      </c>
      <c r="I108" s="40">
        <f>IF(ISERROR(VLOOKUP($D108,[4]Ppto!$A$3:$F$100,5,)),0,VLOOKUP($D108,[4]Ppto!$A$3:$F$100,5,))</f>
        <v>0</v>
      </c>
      <c r="J108" s="41">
        <v>1</v>
      </c>
      <c r="K108" s="40">
        <f t="shared" si="7"/>
        <v>0</v>
      </c>
      <c r="L108" s="40">
        <f t="shared" si="0"/>
        <v>0</v>
      </c>
      <c r="M108" s="40">
        <f t="shared" si="8"/>
        <v>0</v>
      </c>
      <c r="N108" s="954"/>
      <c r="O108" s="803"/>
      <c r="P108" s="39"/>
      <c r="Q108" s="755"/>
      <c r="R108" s="616"/>
      <c r="S108" s="755"/>
    </row>
    <row r="109" spans="2:19" ht="30" hidden="1" x14ac:dyDescent="0.25">
      <c r="B109" s="750" t="str">
        <f>+'[3]1. Colector Principal'!C52</f>
        <v>Geotextil No tejido por cada 100m2</v>
      </c>
      <c r="C109" s="752" t="e">
        <f>'FORMATO PROPUESTA ECONÓMICA'!#REF!</f>
        <v>#REF!</v>
      </c>
      <c r="D109" s="756"/>
      <c r="E109" s="620">
        <f>'FORMATO PROPUESTA ECONÓMICA'!A134</f>
        <v>11.1</v>
      </c>
      <c r="F109" s="633" t="s">
        <v>103</v>
      </c>
      <c r="G109" s="628" t="s">
        <v>15</v>
      </c>
      <c r="H109" s="629">
        <f>IF(ISERROR(VLOOKUP($D109,[4]Ppto!$A$3:$F$100,4,)),0,VLOOKUP($D109,[4]Ppto!$A$3:$F$100,4,))</f>
        <v>0</v>
      </c>
      <c r="I109" s="630">
        <f>IF(ISERROR(VLOOKUP($D109,[4]Ppto!$A$3:$F$100,5,)),0,VLOOKUP($D109,[4]Ppto!$A$3:$F$100,5,))</f>
        <v>0</v>
      </c>
      <c r="J109" s="631">
        <v>1.0000020789169788</v>
      </c>
      <c r="K109" s="630">
        <f t="shared" si="7"/>
        <v>0</v>
      </c>
      <c r="L109" s="630">
        <f t="shared" si="0"/>
        <v>0</v>
      </c>
      <c r="M109" s="630">
        <f t="shared" si="8"/>
        <v>0</v>
      </c>
      <c r="N109" s="946"/>
      <c r="O109" s="623">
        <f>'FORMATO PROPUESTA ECONÓMICA'!E134</f>
        <v>0</v>
      </c>
      <c r="P109" s="629">
        <f>IF(ISERROR(+N109*O109),"",+N109*O109)</f>
        <v>0</v>
      </c>
      <c r="Q109" s="755"/>
      <c r="R109" s="616"/>
    </row>
    <row r="110" spans="2:19" x14ac:dyDescent="0.25">
      <c r="B110" s="750" t="str">
        <f>+'[3]1. Colector Principal'!C53</f>
        <v>Pilotes de madera Inmunizada Ø=0.15</v>
      </c>
      <c r="C110" s="752" t="e">
        <f>'FORMATO PROPUESTA ECONÓMICA'!#REF!</f>
        <v>#REF!</v>
      </c>
      <c r="D110" s="756"/>
      <c r="E110" s="634">
        <f>'FORMATO PROPUESTA ECONÓMICA'!A135</f>
        <v>11.2</v>
      </c>
      <c r="F110" s="633" t="s">
        <v>104</v>
      </c>
      <c r="G110" s="628" t="s">
        <v>15</v>
      </c>
      <c r="H110" s="629">
        <f>IF(ISERROR(VLOOKUP($D110,[4]Ppto!$A$3:$F$100,4,)),0,VLOOKUP($D110,[4]Ppto!$A$3:$F$100,4,))</f>
        <v>0</v>
      </c>
      <c r="I110" s="630">
        <f>IF(ISERROR(VLOOKUP($D110,[4]Ppto!$A$3:$F$100,5,)),0,VLOOKUP($D110,[4]Ppto!$A$3:$F$100,5,))</f>
        <v>0</v>
      </c>
      <c r="J110" s="631">
        <v>1.0000000000000002</v>
      </c>
      <c r="K110" s="630">
        <f t="shared" si="7"/>
        <v>0</v>
      </c>
      <c r="L110" s="630">
        <f t="shared" si="0"/>
        <v>0</v>
      </c>
      <c r="M110" s="630">
        <f t="shared" si="8"/>
        <v>0</v>
      </c>
      <c r="N110" s="946">
        <f>900*0.6*0.2</f>
        <v>108</v>
      </c>
      <c r="O110" s="623">
        <f>'FORMATO PROPUESTA ECONÓMICA'!E135</f>
        <v>0</v>
      </c>
      <c r="P110" s="629">
        <f>IF(ISERROR(+N110*O110),"",+N110*O110)</f>
        <v>0</v>
      </c>
      <c r="Q110" s="755"/>
      <c r="R110" s="616"/>
    </row>
    <row r="111" spans="2:19" ht="60" x14ac:dyDescent="0.25">
      <c r="B111" s="750"/>
      <c r="C111" s="752" t="e">
        <f>'FORMATO PROPUESTA ECONÓMICA'!#REF!</f>
        <v>#REF!</v>
      </c>
      <c r="D111" s="753"/>
      <c r="E111" s="634">
        <f>'FORMATO PROPUESTA ECONÓMICA'!A136</f>
        <v>11.3</v>
      </c>
      <c r="F111" s="633" t="s">
        <v>105</v>
      </c>
      <c r="G111" s="628" t="s">
        <v>15</v>
      </c>
      <c r="H111" s="629"/>
      <c r="I111" s="630"/>
      <c r="J111" s="631"/>
      <c r="K111" s="630"/>
      <c r="L111" s="630"/>
      <c r="M111" s="630"/>
      <c r="N111" s="946">
        <f>N110</f>
        <v>108</v>
      </c>
      <c r="O111" s="623">
        <f>'FORMATO PROPUESTA ECONÓMICA'!E136</f>
        <v>0</v>
      </c>
      <c r="P111" s="629">
        <f>IF(ISERROR(+N111*O111),"",+N111*O111)</f>
        <v>0</v>
      </c>
      <c r="Q111" s="755"/>
      <c r="R111" s="616"/>
      <c r="S111" s="755"/>
    </row>
    <row r="112" spans="2:19" ht="45" hidden="1" x14ac:dyDescent="0.25">
      <c r="B112" s="750"/>
      <c r="C112" s="752" t="e">
        <f>'FORMATO PROPUESTA ECONÓMICA'!#REF!</f>
        <v>#REF!</v>
      </c>
      <c r="D112" s="753"/>
      <c r="E112" s="620">
        <f>'FORMATO PROPUESTA ECONÓMICA'!A137</f>
        <v>11.4</v>
      </c>
      <c r="F112" s="633" t="s">
        <v>106</v>
      </c>
      <c r="G112" s="628" t="s">
        <v>15</v>
      </c>
      <c r="H112" s="629">
        <f>IF(ISERROR(VLOOKUP($D112,[4]Ppto!$A$3:$F$100,4,)),0,VLOOKUP($D112,[4]Ppto!$A$3:$F$100,4,))</f>
        <v>0</v>
      </c>
      <c r="I112" s="630">
        <f>IF(ISERROR(VLOOKUP($D112,[4]Ppto!$A$3:$F$100,5,)),0,VLOOKUP($D112,[4]Ppto!$A$3:$F$100,5,))</f>
        <v>0</v>
      </c>
      <c r="J112" s="631">
        <v>0.99996823491225251</v>
      </c>
      <c r="K112" s="630">
        <f>+I112-O112</f>
        <v>-926131.99</v>
      </c>
      <c r="L112" s="630">
        <f t="shared" ref="L112" si="10">+H112*I112</f>
        <v>0</v>
      </c>
      <c r="M112" s="630">
        <f>+L112-P112</f>
        <v>0</v>
      </c>
      <c r="N112" s="946"/>
      <c r="O112" s="629">
        <v>926131.99</v>
      </c>
      <c r="P112" s="629">
        <f>IF(ISERROR(+N112*O112),"",+N112*O112)</f>
        <v>0</v>
      </c>
      <c r="Q112" s="755"/>
      <c r="R112" s="616"/>
    </row>
    <row r="113" spans="2:18" hidden="1" x14ac:dyDescent="0.25">
      <c r="B113" s="750"/>
      <c r="C113" s="841"/>
      <c r="D113" s="758"/>
      <c r="E113" s="732">
        <f>'FORMATO PROPUESTA ECONÓMICA'!A138</f>
        <v>12</v>
      </c>
      <c r="F113" s="45" t="s">
        <v>350</v>
      </c>
      <c r="G113" s="44"/>
      <c r="H113" s="39"/>
      <c r="I113" s="40"/>
      <c r="J113" s="41"/>
      <c r="K113" s="40"/>
      <c r="L113" s="40"/>
      <c r="M113" s="40"/>
      <c r="N113" s="980"/>
      <c r="O113" s="39"/>
      <c r="P113" s="39"/>
      <c r="Q113" s="755"/>
      <c r="R113" s="616"/>
    </row>
    <row r="114" spans="2:18" hidden="1" x14ac:dyDescent="0.25">
      <c r="B114" s="750" t="str">
        <f>+'[3]1. Colector Principal'!C54</f>
        <v>Elaboración y Colocación de Concreto 2500 PSI para anclajes (incluye formaletería y Clavos)</v>
      </c>
      <c r="C114" s="752" t="e">
        <f>'FORMATO PROPUESTA ECONÓMICA'!#REF!</f>
        <v>#REF!</v>
      </c>
      <c r="D114" s="756"/>
      <c r="E114" s="634">
        <f>'FORMATO PROPUESTA ECONÓMICA'!A139</f>
        <v>12.1</v>
      </c>
      <c r="F114" s="627" t="s">
        <v>351</v>
      </c>
      <c r="G114" s="628" t="s">
        <v>79</v>
      </c>
      <c r="H114" s="629">
        <v>118716.25</v>
      </c>
      <c r="I114" s="630"/>
      <c r="J114" s="631"/>
      <c r="K114" s="630"/>
      <c r="L114" s="630"/>
      <c r="M114" s="630"/>
      <c r="N114" s="981">
        <f>N92+N81+N63+N51+N45+N41</f>
        <v>68</v>
      </c>
      <c r="O114" s="629"/>
      <c r="P114" s="629">
        <f>IF(ISERROR(+N114*O114),"",+N114*O114)</f>
        <v>0</v>
      </c>
      <c r="Q114" s="755"/>
      <c r="R114" s="616"/>
    </row>
    <row r="115" spans="2:18" x14ac:dyDescent="0.25">
      <c r="B115" s="750">
        <f>+'[3]1. Colector Principal'!C64</f>
        <v>0</v>
      </c>
      <c r="C115" s="841" t="e">
        <f>'FORMATO PROPUESTA ECONÓMICA'!#REF!</f>
        <v>#REF!</v>
      </c>
      <c r="D115" s="758"/>
      <c r="E115" s="732"/>
      <c r="F115" s="43" t="s">
        <v>18</v>
      </c>
      <c r="G115" s="44"/>
      <c r="H115" s="44"/>
      <c r="I115" s="44"/>
      <c r="J115" s="44"/>
      <c r="K115" s="44"/>
      <c r="L115" s="44"/>
      <c r="M115" s="44"/>
      <c r="N115" s="44"/>
      <c r="O115" s="44"/>
      <c r="P115" s="44"/>
      <c r="Q115" s="755"/>
      <c r="R115" s="616"/>
    </row>
    <row r="116" spans="2:18" ht="30" x14ac:dyDescent="0.25">
      <c r="B116" s="750" t="str">
        <f>+'[3]1. Colector Principal'!C65</f>
        <v>Suministro e Instalaciób  de tubería de PE para Acueducto PE 100 PN 6 RDE 26,(incluye nivelación)  en los siguientes diámetros nominales:</v>
      </c>
      <c r="C116" s="841" t="e">
        <f>'FORMATO PROPUESTA ECONÓMICA'!#REF!</f>
        <v>#REF!</v>
      </c>
      <c r="D116" s="758"/>
      <c r="E116" s="732" t="e">
        <f>'FORMATO PROPUESTA ECONÓMICA'!#REF!</f>
        <v>#REF!</v>
      </c>
      <c r="F116" s="43" t="s">
        <v>367</v>
      </c>
      <c r="G116" s="44"/>
      <c r="H116" s="39">
        <f>IF(ISERROR(VLOOKUP($D116,[4]Ppto!$A$3:$F$100,4,)),0,VLOOKUP($D116,[4]Ppto!$A$3:$F$100,4,))</f>
        <v>0</v>
      </c>
      <c r="I116" s="40">
        <f>IF(ISERROR(VLOOKUP($D116,[4]Ppto!$A$3:$F$100,5,)),0,VLOOKUP($D116,[4]Ppto!$A$3:$F$100,5,))</f>
        <v>0</v>
      </c>
      <c r="J116" s="41">
        <v>1</v>
      </c>
      <c r="K116" s="40">
        <f>+I116-O116</f>
        <v>0</v>
      </c>
      <c r="L116" s="40">
        <f t="shared" ref="L116" si="11">+H116*I116</f>
        <v>0</v>
      </c>
      <c r="M116" s="40">
        <f>+L116-P116</f>
        <v>0</v>
      </c>
      <c r="N116" s="39"/>
      <c r="O116" s="39"/>
      <c r="P116" s="39"/>
      <c r="Q116" s="755"/>
      <c r="R116" s="616"/>
    </row>
    <row r="117" spans="2:18" hidden="1" x14ac:dyDescent="0.25">
      <c r="B117" s="750"/>
      <c r="C117" s="752" t="e">
        <f>'FORMATO PROPUESTA ECONÓMICA'!#REF!</f>
        <v>#REF!</v>
      </c>
      <c r="D117" s="756"/>
      <c r="E117" s="620" t="e">
        <f>'FORMATO PROPUESTA ECONÓMICA'!#REF!</f>
        <v>#REF!</v>
      </c>
      <c r="F117" s="633" t="s">
        <v>368</v>
      </c>
      <c r="G117" s="628" t="str">
        <f>G35</f>
        <v>ml</v>
      </c>
      <c r="H117" s="628">
        <f t="shared" ref="H117:N117" si="12">H35</f>
        <v>0</v>
      </c>
      <c r="I117" s="628">
        <f t="shared" si="12"/>
        <v>0</v>
      </c>
      <c r="J117" s="628">
        <f t="shared" si="12"/>
        <v>1.0000083683818088</v>
      </c>
      <c r="K117" s="628" t="e">
        <f t="shared" si="12"/>
        <v>#REF!</v>
      </c>
      <c r="L117" s="628">
        <f t="shared" si="12"/>
        <v>0</v>
      </c>
      <c r="M117" s="628">
        <f t="shared" si="12"/>
        <v>0</v>
      </c>
      <c r="N117" s="628">
        <f t="shared" si="12"/>
        <v>0</v>
      </c>
      <c r="O117" s="629">
        <v>10208</v>
      </c>
      <c r="P117" s="629">
        <f t="shared" ref="P117:P143" si="13">IF(ISERROR(+N117*O117),"",+N117*O117)</f>
        <v>0</v>
      </c>
      <c r="Q117" s="755"/>
    </row>
    <row r="118" spans="2:18" x14ac:dyDescent="0.25">
      <c r="B118" s="750" t="str">
        <f>+'[3]2.Secundarias B_Obrero'!C52</f>
        <v>Tubería PE Øint. 184.6mm</v>
      </c>
      <c r="C118" s="752" t="e">
        <f>'FORMATO PROPUESTA ECONÓMICA'!#REF!</f>
        <v>#REF!</v>
      </c>
      <c r="D118" s="756"/>
      <c r="E118" s="634" t="e">
        <f>'FORMATO PROPUESTA ECONÓMICA'!#REF!</f>
        <v>#REF!</v>
      </c>
      <c r="F118" s="633" t="s">
        <v>404</v>
      </c>
      <c r="G118" s="628" t="str">
        <f t="shared" ref="G118:N118" si="14">G36</f>
        <v>ml</v>
      </c>
      <c r="H118" s="628">
        <f t="shared" si="14"/>
        <v>0</v>
      </c>
      <c r="I118" s="628">
        <f t="shared" si="14"/>
        <v>0</v>
      </c>
      <c r="J118" s="628">
        <f t="shared" si="14"/>
        <v>0.99995852949508546</v>
      </c>
      <c r="K118" s="628">
        <f t="shared" si="14"/>
        <v>0</v>
      </c>
      <c r="L118" s="628">
        <f t="shared" si="14"/>
        <v>0</v>
      </c>
      <c r="M118" s="628">
        <f t="shared" si="14"/>
        <v>0</v>
      </c>
      <c r="N118" s="628">
        <f t="shared" si="14"/>
        <v>2975.6</v>
      </c>
      <c r="O118" s="629">
        <v>13708</v>
      </c>
      <c r="P118" s="629">
        <f t="shared" si="13"/>
        <v>40789524.799999997</v>
      </c>
      <c r="Q118" s="755"/>
    </row>
    <row r="119" spans="2:18" x14ac:dyDescent="0.25">
      <c r="B119" s="750" t="str">
        <f>+'[3]1. Colector Principal'!C66</f>
        <v>Tubería PE Øint. 230.8mm</v>
      </c>
      <c r="C119" s="752" t="e">
        <f>'FORMATO PROPUESTA ECONÓMICA'!#REF!</f>
        <v>#REF!</v>
      </c>
      <c r="D119" s="756"/>
      <c r="E119" s="634" t="e">
        <f>'FORMATO PROPUESTA ECONÓMICA'!#REF!</f>
        <v>#REF!</v>
      </c>
      <c r="F119" s="633" t="s">
        <v>405</v>
      </c>
      <c r="G119" s="628" t="str">
        <f t="shared" ref="G119:N119" si="15">G37</f>
        <v>ml</v>
      </c>
      <c r="H119" s="628">
        <f t="shared" si="15"/>
        <v>0</v>
      </c>
      <c r="I119" s="628">
        <f t="shared" si="15"/>
        <v>0</v>
      </c>
      <c r="J119" s="628">
        <f t="shared" si="15"/>
        <v>0</v>
      </c>
      <c r="K119" s="628">
        <f t="shared" si="15"/>
        <v>0</v>
      </c>
      <c r="L119" s="628">
        <f t="shared" si="15"/>
        <v>0</v>
      </c>
      <c r="M119" s="628">
        <f t="shared" si="15"/>
        <v>0</v>
      </c>
      <c r="N119" s="628">
        <f t="shared" si="15"/>
        <v>1023</v>
      </c>
      <c r="O119" s="629">
        <v>20240</v>
      </c>
      <c r="P119" s="629">
        <f t="shared" si="13"/>
        <v>20705520</v>
      </c>
      <c r="Q119" s="755"/>
    </row>
    <row r="120" spans="2:18" hidden="1" x14ac:dyDescent="0.25">
      <c r="B120" s="750" t="str">
        <f>+'[3]1. Colector Principal'!C67</f>
        <v>Tubería PE Øint. 290.8mm</v>
      </c>
      <c r="C120" s="752" t="e">
        <f>'FORMATO PROPUESTA ECONÓMICA'!#REF!</f>
        <v>#REF!</v>
      </c>
      <c r="D120" s="756"/>
      <c r="E120" s="634" t="e">
        <f>'FORMATO PROPUESTA ECONÓMICA'!#REF!</f>
        <v>#REF!</v>
      </c>
      <c r="F120" s="633" t="s">
        <v>406</v>
      </c>
      <c r="G120" s="628" t="str">
        <f t="shared" ref="G120:N120" si="16">G38</f>
        <v>ml</v>
      </c>
      <c r="H120" s="628">
        <f t="shared" si="16"/>
        <v>0</v>
      </c>
      <c r="I120" s="628">
        <f t="shared" si="16"/>
        <v>0</v>
      </c>
      <c r="J120" s="628">
        <f t="shared" si="16"/>
        <v>0</v>
      </c>
      <c r="K120" s="628">
        <f t="shared" si="16"/>
        <v>0</v>
      </c>
      <c r="L120" s="628">
        <f t="shared" si="16"/>
        <v>0</v>
      </c>
      <c r="M120" s="628">
        <f t="shared" si="16"/>
        <v>0</v>
      </c>
      <c r="N120" s="628">
        <f t="shared" si="16"/>
        <v>0</v>
      </c>
      <c r="O120" s="629">
        <v>43240</v>
      </c>
      <c r="P120" s="629">
        <f t="shared" si="13"/>
        <v>0</v>
      </c>
      <c r="Q120" s="755"/>
    </row>
    <row r="121" spans="2:18" hidden="1" x14ac:dyDescent="0.25">
      <c r="B121" s="750"/>
      <c r="C121" s="752" t="e">
        <f>'FORMATO PROPUESTA ECONÓMICA'!#REF!</f>
        <v>#REF!</v>
      </c>
      <c r="D121" s="756"/>
      <c r="E121" s="634" t="e">
        <f>'FORMATO PROPUESTA ECONÓMICA'!#REF!</f>
        <v>#REF!</v>
      </c>
      <c r="F121" s="633" t="s">
        <v>407</v>
      </c>
      <c r="G121" s="628" t="str">
        <f t="shared" ref="G121:N121" si="17">G39</f>
        <v>ml</v>
      </c>
      <c r="H121" s="628">
        <f t="shared" si="17"/>
        <v>0</v>
      </c>
      <c r="I121" s="628">
        <f t="shared" si="17"/>
        <v>0</v>
      </c>
      <c r="J121" s="628">
        <f t="shared" si="17"/>
        <v>1</v>
      </c>
      <c r="K121" s="628">
        <f t="shared" si="17"/>
        <v>0</v>
      </c>
      <c r="L121" s="628">
        <f t="shared" si="17"/>
        <v>0</v>
      </c>
      <c r="M121" s="628">
        <f t="shared" si="17"/>
        <v>0</v>
      </c>
      <c r="N121" s="628">
        <f t="shared" si="17"/>
        <v>0</v>
      </c>
      <c r="O121" s="629">
        <v>97199</v>
      </c>
      <c r="P121" s="629">
        <f t="shared" si="13"/>
        <v>0</v>
      </c>
      <c r="Q121" s="755"/>
    </row>
    <row r="122" spans="2:18" hidden="1" x14ac:dyDescent="0.25">
      <c r="B122" s="750"/>
      <c r="C122" s="752" t="e">
        <f>'FORMATO PROPUESTA ECONÓMICA'!#REF!</f>
        <v>#REF!</v>
      </c>
      <c r="D122" s="756"/>
      <c r="E122" s="634" t="e">
        <f>'FORMATO PROPUESTA ECONÓMICA'!#REF!</f>
        <v>#REF!</v>
      </c>
      <c r="F122" s="633" t="s">
        <v>379</v>
      </c>
      <c r="G122" s="628" t="str">
        <f t="shared" ref="G122:N122" si="18">G40</f>
        <v>und</v>
      </c>
      <c r="H122" s="628">
        <f t="shared" si="18"/>
        <v>0</v>
      </c>
      <c r="I122" s="628">
        <f t="shared" si="18"/>
        <v>0</v>
      </c>
      <c r="J122" s="628">
        <f t="shared" si="18"/>
        <v>0</v>
      </c>
      <c r="K122" s="628">
        <f t="shared" si="18"/>
        <v>0</v>
      </c>
      <c r="L122" s="628">
        <f t="shared" si="18"/>
        <v>0</v>
      </c>
      <c r="M122" s="628">
        <f t="shared" si="18"/>
        <v>0</v>
      </c>
      <c r="N122" s="628">
        <f t="shared" si="18"/>
        <v>0</v>
      </c>
      <c r="O122" s="629">
        <v>39195</v>
      </c>
      <c r="P122" s="629">
        <f t="shared" si="13"/>
        <v>0</v>
      </c>
      <c r="Q122" s="755"/>
    </row>
    <row r="123" spans="2:18" x14ac:dyDescent="0.25">
      <c r="B123" s="750"/>
      <c r="C123" s="752" t="e">
        <f>'FORMATO PROPUESTA ECONÓMICA'!#REF!</f>
        <v>#REF!</v>
      </c>
      <c r="D123" s="756"/>
      <c r="E123" s="634" t="e">
        <f>'FORMATO PROPUESTA ECONÓMICA'!#REF!</f>
        <v>#REF!</v>
      </c>
      <c r="F123" s="633" t="s">
        <v>380</v>
      </c>
      <c r="G123" s="628" t="str">
        <f t="shared" ref="G123:N123" si="19">G41</f>
        <v>und</v>
      </c>
      <c r="H123" s="628">
        <f t="shared" si="19"/>
        <v>0</v>
      </c>
      <c r="I123" s="628">
        <f t="shared" si="19"/>
        <v>0</v>
      </c>
      <c r="J123" s="628">
        <f t="shared" si="19"/>
        <v>0</v>
      </c>
      <c r="K123" s="628">
        <f t="shared" si="19"/>
        <v>0</v>
      </c>
      <c r="L123" s="628">
        <f t="shared" si="19"/>
        <v>0</v>
      </c>
      <c r="M123" s="628">
        <f t="shared" si="19"/>
        <v>0</v>
      </c>
      <c r="N123" s="628">
        <f t="shared" si="19"/>
        <v>25</v>
      </c>
      <c r="O123" s="629">
        <v>47749</v>
      </c>
      <c r="P123" s="629">
        <f t="shared" si="13"/>
        <v>1193725</v>
      </c>
      <c r="Q123" s="755"/>
    </row>
    <row r="124" spans="2:18" hidden="1" x14ac:dyDescent="0.25">
      <c r="B124" s="750"/>
      <c r="C124" s="752" t="e">
        <f>'FORMATO PROPUESTA ECONÓMICA'!#REF!</f>
        <v>#REF!</v>
      </c>
      <c r="D124" s="756"/>
      <c r="E124" s="620" t="e">
        <f>'FORMATO PROPUESTA ECONÓMICA'!#REF!</f>
        <v>#REF!</v>
      </c>
      <c r="F124" s="633" t="s">
        <v>408</v>
      </c>
      <c r="G124" s="628" t="str">
        <f t="shared" ref="G124:M124" si="20">G42</f>
        <v>und</v>
      </c>
      <c r="H124" s="628">
        <f t="shared" si="20"/>
        <v>0</v>
      </c>
      <c r="I124" s="628">
        <f t="shared" si="20"/>
        <v>0</v>
      </c>
      <c r="J124" s="628">
        <f t="shared" si="20"/>
        <v>0</v>
      </c>
      <c r="K124" s="628">
        <f t="shared" si="20"/>
        <v>0</v>
      </c>
      <c r="L124" s="628">
        <f t="shared" si="20"/>
        <v>0</v>
      </c>
      <c r="M124" s="628">
        <f t="shared" si="20"/>
        <v>0</v>
      </c>
      <c r="N124" s="628"/>
      <c r="O124" s="629">
        <v>64172</v>
      </c>
      <c r="P124" s="629">
        <f t="shared" si="13"/>
        <v>0</v>
      </c>
      <c r="Q124" s="755"/>
    </row>
    <row r="125" spans="2:18" hidden="1" x14ac:dyDescent="0.25">
      <c r="B125" s="750"/>
      <c r="C125" s="752" t="e">
        <f>'FORMATO PROPUESTA ECONÓMICA'!#REF!</f>
        <v>#REF!</v>
      </c>
      <c r="D125" s="756"/>
      <c r="E125" s="620" t="e">
        <f>'FORMATO PROPUESTA ECONÓMICA'!#REF!</f>
        <v>#REF!</v>
      </c>
      <c r="F125" s="633" t="s">
        <v>409</v>
      </c>
      <c r="G125" s="628" t="str">
        <f t="shared" ref="G125:N125" si="21">G43</f>
        <v>und</v>
      </c>
      <c r="H125" s="628">
        <f t="shared" si="21"/>
        <v>0</v>
      </c>
      <c r="I125" s="628">
        <f t="shared" si="21"/>
        <v>0</v>
      </c>
      <c r="J125" s="628">
        <f t="shared" si="21"/>
        <v>0</v>
      </c>
      <c r="K125" s="628">
        <f t="shared" si="21"/>
        <v>0</v>
      </c>
      <c r="L125" s="628">
        <f t="shared" si="21"/>
        <v>0</v>
      </c>
      <c r="M125" s="628">
        <f t="shared" si="21"/>
        <v>0</v>
      </c>
      <c r="N125" s="628">
        <f t="shared" si="21"/>
        <v>0</v>
      </c>
      <c r="O125" s="629">
        <v>244662</v>
      </c>
      <c r="P125" s="629">
        <f t="shared" si="13"/>
        <v>0</v>
      </c>
      <c r="Q125" s="755"/>
    </row>
    <row r="126" spans="2:18" hidden="1" x14ac:dyDescent="0.25">
      <c r="B126" s="750"/>
      <c r="C126" s="752" t="e">
        <f>'FORMATO PROPUESTA ECONÓMICA'!#REF!</f>
        <v>#REF!</v>
      </c>
      <c r="D126" s="756"/>
      <c r="E126" s="620" t="e">
        <f>'FORMATO PROPUESTA ECONÓMICA'!#REF!</f>
        <v>#REF!</v>
      </c>
      <c r="F126" s="633" t="s">
        <v>410</v>
      </c>
      <c r="G126" s="628" t="str">
        <f t="shared" ref="G126:N126" si="22">G44</f>
        <v>und</v>
      </c>
      <c r="H126" s="628">
        <f t="shared" si="22"/>
        <v>0</v>
      </c>
      <c r="I126" s="628">
        <f t="shared" si="22"/>
        <v>0</v>
      </c>
      <c r="J126" s="628">
        <f t="shared" si="22"/>
        <v>0</v>
      </c>
      <c r="K126" s="628">
        <f t="shared" si="22"/>
        <v>0</v>
      </c>
      <c r="L126" s="628">
        <f t="shared" si="22"/>
        <v>0</v>
      </c>
      <c r="M126" s="628">
        <f t="shared" si="22"/>
        <v>0</v>
      </c>
      <c r="N126" s="628">
        <f t="shared" si="22"/>
        <v>0</v>
      </c>
      <c r="O126" s="629">
        <v>414183</v>
      </c>
      <c r="P126" s="629">
        <f t="shared" si="13"/>
        <v>0</v>
      </c>
      <c r="Q126" s="755"/>
    </row>
    <row r="127" spans="2:18" x14ac:dyDescent="0.25">
      <c r="B127" s="750"/>
      <c r="C127" s="752" t="e">
        <f>'FORMATO PROPUESTA ECONÓMICA'!#REF!</f>
        <v>#REF!</v>
      </c>
      <c r="D127" s="756"/>
      <c r="E127" s="620" t="e">
        <f>'FORMATO PROPUESTA ECONÓMICA'!#REF!</f>
        <v>#REF!</v>
      </c>
      <c r="F127" s="633" t="s">
        <v>411</v>
      </c>
      <c r="G127" s="628" t="str">
        <f t="shared" ref="G127:N128" si="23">G45</f>
        <v>und</v>
      </c>
      <c r="H127" s="628">
        <f t="shared" si="23"/>
        <v>0</v>
      </c>
      <c r="I127" s="628">
        <f t="shared" si="23"/>
        <v>0</v>
      </c>
      <c r="J127" s="628">
        <f t="shared" si="23"/>
        <v>0</v>
      </c>
      <c r="K127" s="628">
        <f t="shared" si="23"/>
        <v>0</v>
      </c>
      <c r="L127" s="628">
        <f t="shared" si="23"/>
        <v>0</v>
      </c>
      <c r="M127" s="628">
        <f t="shared" si="23"/>
        <v>0</v>
      </c>
      <c r="N127" s="628">
        <f t="shared" si="23"/>
        <v>20</v>
      </c>
      <c r="O127" s="629">
        <v>64172</v>
      </c>
      <c r="P127" s="629">
        <f t="shared" si="13"/>
        <v>1283440</v>
      </c>
      <c r="Q127" s="755"/>
    </row>
    <row r="128" spans="2:18" hidden="1" x14ac:dyDescent="0.25">
      <c r="B128" s="750"/>
      <c r="C128" s="752" t="e">
        <f>'FORMATO PROPUESTA ECONÓMICA'!#REF!</f>
        <v>#REF!</v>
      </c>
      <c r="D128" s="756"/>
      <c r="E128" s="620" t="e">
        <f>'FORMATO PROPUESTA ECONÓMICA'!#REF!</f>
        <v>#REF!</v>
      </c>
      <c r="F128" s="633" t="s">
        <v>446</v>
      </c>
      <c r="G128" s="628" t="s">
        <v>79</v>
      </c>
      <c r="H128" s="628"/>
      <c r="I128" s="628"/>
      <c r="J128" s="628"/>
      <c r="K128" s="628"/>
      <c r="L128" s="628"/>
      <c r="M128" s="628"/>
      <c r="N128" s="628">
        <f t="shared" si="23"/>
        <v>0</v>
      </c>
      <c r="O128" s="629">
        <v>64172</v>
      </c>
      <c r="P128" s="629">
        <f t="shared" si="13"/>
        <v>0</v>
      </c>
      <c r="Q128" s="755"/>
    </row>
    <row r="129" spans="2:17" hidden="1" x14ac:dyDescent="0.25">
      <c r="B129" s="750"/>
      <c r="C129" s="752" t="e">
        <f>'FORMATO PROPUESTA ECONÓMICA'!#REF!</f>
        <v>#REF!</v>
      </c>
      <c r="D129" s="756"/>
      <c r="E129" s="620" t="e">
        <f>'FORMATO PROPUESTA ECONÓMICA'!#REF!</f>
        <v>#REF!</v>
      </c>
      <c r="F129" s="633" t="s">
        <v>412</v>
      </c>
      <c r="G129" s="628" t="str">
        <f t="shared" ref="G129:N129" si="24">G47</f>
        <v>und</v>
      </c>
      <c r="H129" s="628">
        <f t="shared" si="24"/>
        <v>0</v>
      </c>
      <c r="I129" s="628">
        <f t="shared" si="24"/>
        <v>0</v>
      </c>
      <c r="J129" s="628">
        <f t="shared" si="24"/>
        <v>0</v>
      </c>
      <c r="K129" s="628">
        <f t="shared" si="24"/>
        <v>0</v>
      </c>
      <c r="L129" s="628">
        <f t="shared" si="24"/>
        <v>0</v>
      </c>
      <c r="M129" s="628">
        <f t="shared" si="24"/>
        <v>0</v>
      </c>
      <c r="N129" s="628">
        <f t="shared" si="24"/>
        <v>0</v>
      </c>
      <c r="O129" s="629">
        <v>39195</v>
      </c>
      <c r="P129" s="629">
        <f t="shared" si="13"/>
        <v>0</v>
      </c>
      <c r="Q129" s="755"/>
    </row>
    <row r="130" spans="2:17" hidden="1" x14ac:dyDescent="0.25">
      <c r="B130" s="750"/>
      <c r="C130" s="752" t="e">
        <f>'FORMATO PROPUESTA ECONÓMICA'!#REF!</f>
        <v>#REF!</v>
      </c>
      <c r="D130" s="756"/>
      <c r="E130" s="620" t="e">
        <f>'FORMATO PROPUESTA ECONÓMICA'!#REF!</f>
        <v>#REF!</v>
      </c>
      <c r="F130" s="633" t="s">
        <v>413</v>
      </c>
      <c r="G130" s="628" t="str">
        <f t="shared" ref="G130:N130" si="25">G48</f>
        <v>und</v>
      </c>
      <c r="H130" s="628">
        <f t="shared" si="25"/>
        <v>0</v>
      </c>
      <c r="I130" s="628">
        <f t="shared" si="25"/>
        <v>0</v>
      </c>
      <c r="J130" s="628">
        <f t="shared" si="25"/>
        <v>0</v>
      </c>
      <c r="K130" s="628">
        <f t="shared" si="25"/>
        <v>0</v>
      </c>
      <c r="L130" s="628">
        <f t="shared" si="25"/>
        <v>0</v>
      </c>
      <c r="M130" s="628">
        <f t="shared" si="25"/>
        <v>0</v>
      </c>
      <c r="N130" s="628">
        <f t="shared" si="25"/>
        <v>0</v>
      </c>
      <c r="O130" s="629">
        <v>35639</v>
      </c>
      <c r="P130" s="629">
        <f t="shared" si="13"/>
        <v>0</v>
      </c>
      <c r="Q130" s="755"/>
    </row>
    <row r="131" spans="2:17" hidden="1" x14ac:dyDescent="0.25">
      <c r="B131" s="750"/>
      <c r="C131" s="752" t="e">
        <f>'FORMATO PROPUESTA ECONÓMICA'!#REF!</f>
        <v>#REF!</v>
      </c>
      <c r="D131" s="756"/>
      <c r="E131" s="620" t="e">
        <f>'FORMATO PROPUESTA ECONÓMICA'!#REF!</f>
        <v>#REF!</v>
      </c>
      <c r="F131" s="633" t="s">
        <v>414</v>
      </c>
      <c r="G131" s="628" t="str">
        <f t="shared" ref="G131:N131" si="26">G49</f>
        <v>und</v>
      </c>
      <c r="H131" s="628">
        <f t="shared" si="26"/>
        <v>0</v>
      </c>
      <c r="I131" s="628">
        <f t="shared" si="26"/>
        <v>0</v>
      </c>
      <c r="J131" s="628">
        <f t="shared" si="26"/>
        <v>0</v>
      </c>
      <c r="K131" s="628">
        <f t="shared" si="26"/>
        <v>0</v>
      </c>
      <c r="L131" s="628">
        <f t="shared" si="26"/>
        <v>0</v>
      </c>
      <c r="M131" s="628">
        <f t="shared" si="26"/>
        <v>0</v>
      </c>
      <c r="N131" s="628">
        <f t="shared" si="26"/>
        <v>0</v>
      </c>
      <c r="O131" s="629">
        <v>38236</v>
      </c>
      <c r="P131" s="629">
        <f t="shared" si="13"/>
        <v>0</v>
      </c>
      <c r="Q131" s="755"/>
    </row>
    <row r="132" spans="2:17" hidden="1" x14ac:dyDescent="0.25">
      <c r="B132" s="750"/>
      <c r="C132" s="752" t="e">
        <f>'FORMATO PROPUESTA ECONÓMICA'!#REF!</f>
        <v>#REF!</v>
      </c>
      <c r="D132" s="756"/>
      <c r="E132" s="620" t="e">
        <f>'FORMATO PROPUESTA ECONÓMICA'!#REF!</f>
        <v>#REF!</v>
      </c>
      <c r="F132" s="633" t="s">
        <v>415</v>
      </c>
      <c r="G132" s="628" t="str">
        <f t="shared" ref="G132:N132" si="27">G50</f>
        <v>und</v>
      </c>
      <c r="H132" s="628">
        <f t="shared" si="27"/>
        <v>0</v>
      </c>
      <c r="I132" s="628">
        <f t="shared" si="27"/>
        <v>0</v>
      </c>
      <c r="J132" s="628">
        <f t="shared" si="27"/>
        <v>0</v>
      </c>
      <c r="K132" s="628">
        <f t="shared" si="27"/>
        <v>0</v>
      </c>
      <c r="L132" s="628">
        <f t="shared" si="27"/>
        <v>0</v>
      </c>
      <c r="M132" s="628">
        <f t="shared" si="27"/>
        <v>0</v>
      </c>
      <c r="N132" s="628">
        <f t="shared" si="27"/>
        <v>0</v>
      </c>
      <c r="O132" s="629">
        <v>46509</v>
      </c>
      <c r="P132" s="629">
        <f t="shared" si="13"/>
        <v>0</v>
      </c>
      <c r="Q132" s="755"/>
    </row>
    <row r="133" spans="2:17" x14ac:dyDescent="0.25">
      <c r="B133" s="750"/>
      <c r="C133" s="752" t="e">
        <f>'FORMATO PROPUESTA ECONÓMICA'!#REF!</f>
        <v>#REF!</v>
      </c>
      <c r="D133" s="756"/>
      <c r="E133" s="620" t="e">
        <f>'FORMATO PROPUESTA ECONÓMICA'!#REF!</f>
        <v>#REF!</v>
      </c>
      <c r="F133" s="633" t="s">
        <v>416</v>
      </c>
      <c r="G133" s="628" t="str">
        <f t="shared" ref="G133:N133" si="28">G51</f>
        <v>und</v>
      </c>
      <c r="H133" s="628">
        <f t="shared" si="28"/>
        <v>0</v>
      </c>
      <c r="I133" s="628">
        <f t="shared" si="28"/>
        <v>0</v>
      </c>
      <c r="J133" s="628">
        <f t="shared" si="28"/>
        <v>0</v>
      </c>
      <c r="K133" s="628">
        <f t="shared" si="28"/>
        <v>0</v>
      </c>
      <c r="L133" s="628">
        <f t="shared" si="28"/>
        <v>0</v>
      </c>
      <c r="M133" s="628">
        <f t="shared" si="28"/>
        <v>0</v>
      </c>
      <c r="N133" s="628">
        <f t="shared" si="28"/>
        <v>12</v>
      </c>
      <c r="O133" s="629">
        <v>35277.919999999998</v>
      </c>
      <c r="P133" s="629">
        <f t="shared" si="13"/>
        <v>423335.04</v>
      </c>
      <c r="Q133" s="755"/>
    </row>
    <row r="134" spans="2:17" hidden="1" x14ac:dyDescent="0.25">
      <c r="B134" s="750"/>
      <c r="C134" s="752" t="e">
        <f>'FORMATO PROPUESTA ECONÓMICA'!#REF!</f>
        <v>#REF!</v>
      </c>
      <c r="D134" s="756"/>
      <c r="E134" s="620" t="e">
        <f>'FORMATO PROPUESTA ECONÓMICA'!#REF!</f>
        <v>#REF!</v>
      </c>
      <c r="F134" s="633" t="s">
        <v>417</v>
      </c>
      <c r="G134" s="628" t="str">
        <f t="shared" ref="G134:N134" si="29">G52</f>
        <v>und</v>
      </c>
      <c r="H134" s="628">
        <f t="shared" si="29"/>
        <v>0</v>
      </c>
      <c r="I134" s="628">
        <f t="shared" si="29"/>
        <v>0</v>
      </c>
      <c r="J134" s="628">
        <f t="shared" si="29"/>
        <v>0</v>
      </c>
      <c r="K134" s="628">
        <f t="shared" si="29"/>
        <v>0</v>
      </c>
      <c r="L134" s="628">
        <f t="shared" si="29"/>
        <v>0</v>
      </c>
      <c r="M134" s="628">
        <f t="shared" si="29"/>
        <v>0</v>
      </c>
      <c r="N134" s="628">
        <f t="shared" si="29"/>
        <v>0</v>
      </c>
      <c r="O134" s="629">
        <v>37681</v>
      </c>
      <c r="P134" s="629">
        <f t="shared" si="13"/>
        <v>0</v>
      </c>
      <c r="Q134" s="755"/>
    </row>
    <row r="135" spans="2:17" hidden="1" x14ac:dyDescent="0.25">
      <c r="B135" s="750"/>
      <c r="C135" s="752" t="e">
        <f>'FORMATO PROPUESTA ECONÓMICA'!#REF!</f>
        <v>#REF!</v>
      </c>
      <c r="D135" s="756"/>
      <c r="E135" s="620" t="e">
        <f>'FORMATO PROPUESTA ECONÓMICA'!#REF!</f>
        <v>#REF!</v>
      </c>
      <c r="F135" s="633" t="s">
        <v>393</v>
      </c>
      <c r="G135" s="628" t="str">
        <f t="shared" ref="G135:N135" si="30">G53</f>
        <v>und</v>
      </c>
      <c r="H135" s="628">
        <f t="shared" si="30"/>
        <v>0</v>
      </c>
      <c r="I135" s="628">
        <f t="shared" si="30"/>
        <v>0</v>
      </c>
      <c r="J135" s="628">
        <f t="shared" si="30"/>
        <v>0</v>
      </c>
      <c r="K135" s="628">
        <f t="shared" si="30"/>
        <v>0</v>
      </c>
      <c r="L135" s="628">
        <f t="shared" si="30"/>
        <v>0</v>
      </c>
      <c r="M135" s="628">
        <f t="shared" si="30"/>
        <v>0</v>
      </c>
      <c r="N135" s="628">
        <f t="shared" si="30"/>
        <v>0</v>
      </c>
      <c r="O135" s="629">
        <v>39675</v>
      </c>
      <c r="P135" s="629">
        <f t="shared" si="13"/>
        <v>0</v>
      </c>
      <c r="Q135" s="755"/>
    </row>
    <row r="136" spans="2:17" hidden="1" x14ac:dyDescent="0.25">
      <c r="B136" s="750"/>
      <c r="C136" s="752" t="e">
        <f>'FORMATO PROPUESTA ECONÓMICA'!#REF!</f>
        <v>#REF!</v>
      </c>
      <c r="D136" s="756"/>
      <c r="E136" s="620" t="e">
        <f>'FORMATO PROPUESTA ECONÓMICA'!#REF!</f>
        <v>#REF!</v>
      </c>
      <c r="F136" s="633" t="s">
        <v>394</v>
      </c>
      <c r="G136" s="628" t="str">
        <f t="shared" ref="G136:N136" si="31">G54</f>
        <v>und</v>
      </c>
      <c r="H136" s="628">
        <f t="shared" si="31"/>
        <v>0</v>
      </c>
      <c r="I136" s="628">
        <f t="shared" si="31"/>
        <v>0</v>
      </c>
      <c r="J136" s="628">
        <f t="shared" si="31"/>
        <v>0</v>
      </c>
      <c r="K136" s="628">
        <f t="shared" si="31"/>
        <v>0</v>
      </c>
      <c r="L136" s="628">
        <f t="shared" si="31"/>
        <v>0</v>
      </c>
      <c r="M136" s="628">
        <f t="shared" si="31"/>
        <v>0</v>
      </c>
      <c r="N136" s="628">
        <f t="shared" si="31"/>
        <v>0</v>
      </c>
      <c r="O136" s="629">
        <v>50625</v>
      </c>
      <c r="P136" s="629">
        <f t="shared" si="13"/>
        <v>0</v>
      </c>
      <c r="Q136" s="755"/>
    </row>
    <row r="137" spans="2:17" hidden="1" x14ac:dyDescent="0.25">
      <c r="B137" s="750"/>
      <c r="C137" s="752" t="e">
        <f>'FORMATO PROPUESTA ECONÓMICA'!#REF!</f>
        <v>#REF!</v>
      </c>
      <c r="D137" s="756"/>
      <c r="E137" s="620" t="e">
        <f>'FORMATO PROPUESTA ECONÓMICA'!#REF!</f>
        <v>#REF!</v>
      </c>
      <c r="F137" s="633" t="s">
        <v>395</v>
      </c>
      <c r="G137" s="628" t="str">
        <f t="shared" ref="G137:N137" si="32">G55</f>
        <v>und</v>
      </c>
      <c r="H137" s="628">
        <f t="shared" si="32"/>
        <v>0</v>
      </c>
      <c r="I137" s="628">
        <f t="shared" si="32"/>
        <v>0</v>
      </c>
      <c r="J137" s="628">
        <f t="shared" si="32"/>
        <v>0</v>
      </c>
      <c r="K137" s="628">
        <f t="shared" si="32"/>
        <v>0</v>
      </c>
      <c r="L137" s="628">
        <f t="shared" si="32"/>
        <v>0</v>
      </c>
      <c r="M137" s="628">
        <f t="shared" si="32"/>
        <v>0</v>
      </c>
      <c r="N137" s="628">
        <f t="shared" si="32"/>
        <v>0</v>
      </c>
      <c r="O137" s="629">
        <v>134189</v>
      </c>
      <c r="P137" s="629">
        <f t="shared" si="13"/>
        <v>0</v>
      </c>
      <c r="Q137" s="755"/>
    </row>
    <row r="138" spans="2:17" hidden="1" x14ac:dyDescent="0.25">
      <c r="B138" s="750"/>
      <c r="C138" s="752" t="e">
        <f>'FORMATO PROPUESTA ECONÓMICA'!#REF!</f>
        <v>#REF!</v>
      </c>
      <c r="D138" s="756"/>
      <c r="E138" s="620" t="e">
        <f>'FORMATO PROPUESTA ECONÓMICA'!#REF!</f>
        <v>#REF!</v>
      </c>
      <c r="F138" s="633" t="s">
        <v>396</v>
      </c>
      <c r="G138" s="628" t="str">
        <f t="shared" ref="G138:N138" si="33">G56</f>
        <v>und</v>
      </c>
      <c r="H138" s="628">
        <f t="shared" si="33"/>
        <v>0</v>
      </c>
      <c r="I138" s="628">
        <f t="shared" si="33"/>
        <v>0</v>
      </c>
      <c r="J138" s="628">
        <f t="shared" si="33"/>
        <v>0</v>
      </c>
      <c r="K138" s="628">
        <f t="shared" si="33"/>
        <v>0</v>
      </c>
      <c r="L138" s="628">
        <f t="shared" si="33"/>
        <v>0</v>
      </c>
      <c r="M138" s="628">
        <f t="shared" si="33"/>
        <v>0</v>
      </c>
      <c r="N138" s="628">
        <f t="shared" si="33"/>
        <v>0</v>
      </c>
      <c r="O138" s="629">
        <v>134189</v>
      </c>
      <c r="P138" s="629">
        <f t="shared" si="13"/>
        <v>0</v>
      </c>
      <c r="Q138" s="755"/>
    </row>
    <row r="139" spans="2:17" hidden="1" x14ac:dyDescent="0.25">
      <c r="B139" s="750"/>
      <c r="C139" s="752" t="e">
        <f>'FORMATO PROPUESTA ECONÓMICA'!#REF!</f>
        <v>#REF!</v>
      </c>
      <c r="D139" s="756"/>
      <c r="E139" s="620" t="e">
        <f>'FORMATO PROPUESTA ECONÓMICA'!#REF!</f>
        <v>#REF!</v>
      </c>
      <c r="F139" s="633" t="s">
        <v>418</v>
      </c>
      <c r="G139" s="628" t="str">
        <f t="shared" ref="G139:N139" si="34">G57</f>
        <v>und</v>
      </c>
      <c r="H139" s="628">
        <f t="shared" si="34"/>
        <v>0</v>
      </c>
      <c r="I139" s="628">
        <f t="shared" si="34"/>
        <v>0</v>
      </c>
      <c r="J139" s="628">
        <f t="shared" si="34"/>
        <v>0</v>
      </c>
      <c r="K139" s="628">
        <f t="shared" si="34"/>
        <v>0</v>
      </c>
      <c r="L139" s="628">
        <f t="shared" si="34"/>
        <v>0</v>
      </c>
      <c r="M139" s="628">
        <f t="shared" si="34"/>
        <v>0</v>
      </c>
      <c r="N139" s="628">
        <f t="shared" si="34"/>
        <v>0</v>
      </c>
      <c r="O139" s="629">
        <v>29369</v>
      </c>
      <c r="P139" s="629">
        <f t="shared" si="13"/>
        <v>0</v>
      </c>
      <c r="Q139" s="755"/>
    </row>
    <row r="140" spans="2:17" x14ac:dyDescent="0.25">
      <c r="B140" s="750"/>
      <c r="C140" s="752" t="e">
        <f>'FORMATO PROPUESTA ECONÓMICA'!#REF!</f>
        <v>#REF!</v>
      </c>
      <c r="D140" s="756"/>
      <c r="E140" s="620" t="e">
        <f>'FORMATO PROPUESTA ECONÓMICA'!#REF!</f>
        <v>#REF!</v>
      </c>
      <c r="F140" s="633" t="s">
        <v>419</v>
      </c>
      <c r="G140" s="628" t="str">
        <f t="shared" ref="G140:N140" si="35">G58</f>
        <v>und</v>
      </c>
      <c r="H140" s="628">
        <f t="shared" si="35"/>
        <v>0</v>
      </c>
      <c r="I140" s="628">
        <f t="shared" si="35"/>
        <v>0</v>
      </c>
      <c r="J140" s="628">
        <f t="shared" si="35"/>
        <v>0</v>
      </c>
      <c r="K140" s="628">
        <f t="shared" si="35"/>
        <v>0</v>
      </c>
      <c r="L140" s="628">
        <f t="shared" si="35"/>
        <v>0</v>
      </c>
      <c r="M140" s="628">
        <f t="shared" si="35"/>
        <v>0</v>
      </c>
      <c r="N140" s="628">
        <f t="shared" si="35"/>
        <v>12</v>
      </c>
      <c r="O140" s="629">
        <v>19705</v>
      </c>
      <c r="P140" s="629">
        <f t="shared" si="13"/>
        <v>236460</v>
      </c>
      <c r="Q140" s="755"/>
    </row>
    <row r="141" spans="2:17" hidden="1" x14ac:dyDescent="0.25">
      <c r="B141" s="750"/>
      <c r="C141" s="752" t="e">
        <f>'FORMATO PROPUESTA ECONÓMICA'!#REF!</f>
        <v>#REF!</v>
      </c>
      <c r="D141" s="756"/>
      <c r="E141" s="620" t="e">
        <f>'FORMATO PROPUESTA ECONÓMICA'!#REF!</f>
        <v>#REF!</v>
      </c>
      <c r="F141" s="633" t="s">
        <v>420</v>
      </c>
      <c r="G141" s="628" t="str">
        <f t="shared" ref="G141:N141" si="36">G59</f>
        <v>und</v>
      </c>
      <c r="H141" s="628">
        <f t="shared" si="36"/>
        <v>0</v>
      </c>
      <c r="I141" s="628">
        <f t="shared" si="36"/>
        <v>0</v>
      </c>
      <c r="J141" s="628">
        <f t="shared" si="36"/>
        <v>0</v>
      </c>
      <c r="K141" s="628">
        <f t="shared" si="36"/>
        <v>0</v>
      </c>
      <c r="L141" s="628">
        <f t="shared" si="36"/>
        <v>0</v>
      </c>
      <c r="M141" s="628">
        <f t="shared" si="36"/>
        <v>0</v>
      </c>
      <c r="N141" s="628">
        <f t="shared" si="36"/>
        <v>0</v>
      </c>
      <c r="O141" s="629">
        <v>24443</v>
      </c>
      <c r="P141" s="629">
        <f t="shared" si="13"/>
        <v>0</v>
      </c>
      <c r="Q141" s="755"/>
    </row>
    <row r="142" spans="2:17" hidden="1" x14ac:dyDescent="0.25">
      <c r="B142" s="750" t="str">
        <f>+'[3]4.Secundarias B_El Bosque'!C61</f>
        <v>Tubería PE Øint. 327.8mm</v>
      </c>
      <c r="C142" s="752" t="e">
        <f>'FORMATO PROPUESTA ECONÓMICA'!#REF!</f>
        <v>#REF!</v>
      </c>
      <c r="D142" s="756"/>
      <c r="E142" s="620" t="e">
        <f>'FORMATO PROPUESTA ECONÓMICA'!#REF!</f>
        <v>#REF!</v>
      </c>
      <c r="F142" s="633" t="s">
        <v>421</v>
      </c>
      <c r="G142" s="628" t="str">
        <f t="shared" ref="G142:N142" si="37">G60</f>
        <v>und</v>
      </c>
      <c r="H142" s="628">
        <f t="shared" si="37"/>
        <v>0</v>
      </c>
      <c r="I142" s="628">
        <f t="shared" si="37"/>
        <v>0</v>
      </c>
      <c r="J142" s="628">
        <f t="shared" si="37"/>
        <v>0</v>
      </c>
      <c r="K142" s="628">
        <f t="shared" si="37"/>
        <v>0</v>
      </c>
      <c r="L142" s="628">
        <f t="shared" si="37"/>
        <v>0</v>
      </c>
      <c r="M142" s="628">
        <f t="shared" si="37"/>
        <v>0</v>
      </c>
      <c r="N142" s="628">
        <f t="shared" si="37"/>
        <v>0</v>
      </c>
      <c r="O142" s="629">
        <v>56681</v>
      </c>
      <c r="P142" s="629">
        <f t="shared" si="13"/>
        <v>0</v>
      </c>
      <c r="Q142" s="755"/>
    </row>
    <row r="143" spans="2:17" hidden="1" x14ac:dyDescent="0.25">
      <c r="B143" s="750" t="str">
        <f>+'[3]1. Colector Principal'!C68</f>
        <v>Tubería PE Øint. 415.6mm</v>
      </c>
      <c r="C143" s="752" t="e">
        <f>'FORMATO PROPUESTA ECONÓMICA'!#REF!</f>
        <v>#REF!</v>
      </c>
      <c r="D143" s="756"/>
      <c r="E143" s="620" t="e">
        <f>'FORMATO PROPUESTA ECONÓMICA'!#REF!</f>
        <v>#REF!</v>
      </c>
      <c r="F143" s="633" t="s">
        <v>422</v>
      </c>
      <c r="G143" s="628" t="str">
        <f t="shared" ref="G143:N143" si="38">G61</f>
        <v>und</v>
      </c>
      <c r="H143" s="628">
        <f t="shared" si="38"/>
        <v>0</v>
      </c>
      <c r="I143" s="628">
        <f t="shared" si="38"/>
        <v>0</v>
      </c>
      <c r="J143" s="628">
        <f t="shared" si="38"/>
        <v>0</v>
      </c>
      <c r="K143" s="628">
        <f t="shared" si="38"/>
        <v>0</v>
      </c>
      <c r="L143" s="628">
        <f t="shared" si="38"/>
        <v>0</v>
      </c>
      <c r="M143" s="628">
        <f t="shared" si="38"/>
        <v>0</v>
      </c>
      <c r="N143" s="628">
        <f t="shared" si="38"/>
        <v>0</v>
      </c>
      <c r="O143" s="629">
        <v>110957</v>
      </c>
      <c r="P143" s="629">
        <f t="shared" si="13"/>
        <v>0</v>
      </c>
      <c r="Q143" s="755"/>
    </row>
    <row r="144" spans="2:17" ht="30" x14ac:dyDescent="0.25">
      <c r="B144" s="750" t="str">
        <f>+'[3]5.Domiciliarias Colector La Yuq'!C35</f>
        <v>Suministro, transporte y colocacion de kit domiciliario en PE, incluye empaque, codo de 45° y espigo, en los siguientes diametros:</v>
      </c>
      <c r="C144" s="841" t="e">
        <f>'FORMATO PROPUESTA ECONÓMICA'!#REF!</f>
        <v>#REF!</v>
      </c>
      <c r="D144" s="758"/>
      <c r="E144" s="732" t="e">
        <f>'FORMATO PROPUESTA ECONÓMICA'!#REF!</f>
        <v>#REF!</v>
      </c>
      <c r="F144" s="43" t="s">
        <v>423</v>
      </c>
      <c r="G144" s="44"/>
      <c r="H144" s="39"/>
      <c r="I144" s="40"/>
      <c r="J144" s="41"/>
      <c r="K144" s="40"/>
      <c r="L144" s="40"/>
      <c r="M144" s="40"/>
      <c r="N144" s="39"/>
      <c r="O144" s="39"/>
      <c r="P144" s="39"/>
      <c r="Q144" s="755"/>
    </row>
    <row r="145" spans="2:17" ht="30" x14ac:dyDescent="0.25">
      <c r="B145" s="750" t="str">
        <f>+'[3]6.Domiciliarias B_Obrero'!C33</f>
        <v>184.6 mm x 147.7 mm</v>
      </c>
      <c r="C145" s="752" t="e">
        <f>'FORMATO PROPUESTA ECONÓMICA'!#REF!</f>
        <v>#REF!</v>
      </c>
      <c r="D145" s="756"/>
      <c r="E145" s="634" t="e">
        <f>'FORMATO PROPUESTA ECONÓMICA'!#REF!</f>
        <v>#REF!</v>
      </c>
      <c r="F145" s="633" t="s">
        <v>402</v>
      </c>
      <c r="G145" s="628" t="str">
        <f>G65</f>
        <v>ml</v>
      </c>
      <c r="H145" s="628">
        <f t="shared" ref="H145:N145" si="39">H65</f>
        <v>0</v>
      </c>
      <c r="I145" s="628">
        <f t="shared" si="39"/>
        <v>0</v>
      </c>
      <c r="J145" s="628">
        <f t="shared" si="39"/>
        <v>1.0000004147351824</v>
      </c>
      <c r="K145" s="628">
        <f t="shared" si="39"/>
        <v>0</v>
      </c>
      <c r="L145" s="628">
        <f t="shared" si="39"/>
        <v>0</v>
      </c>
      <c r="M145" s="628">
        <f t="shared" si="39"/>
        <v>0</v>
      </c>
      <c r="N145" s="628">
        <f t="shared" si="39"/>
        <v>3756</v>
      </c>
      <c r="O145" s="629">
        <v>2433.6799999999998</v>
      </c>
      <c r="P145" s="629">
        <f t="shared" ref="P145:P160" si="40">IF(ISERROR(+N145*O145),"",+N145*O145)</f>
        <v>9140902.0800000001</v>
      </c>
      <c r="Q145" s="755"/>
    </row>
    <row r="146" spans="2:17" ht="30" hidden="1" x14ac:dyDescent="0.25">
      <c r="B146" s="750" t="str">
        <f>+'[3]5.Domiciliarias Colector La Yuq'!C36</f>
        <v>230.8 mm x 147.7 mm</v>
      </c>
      <c r="C146" s="752" t="e">
        <f>'FORMATO PROPUESTA ECONÓMICA'!#REF!</f>
        <v>#REF!</v>
      </c>
      <c r="D146" s="756"/>
      <c r="E146" s="634" t="e">
        <f>'FORMATO PROPUESTA ECONÓMICA'!#REF!</f>
        <v>#REF!</v>
      </c>
      <c r="F146" s="633" t="s">
        <v>403</v>
      </c>
      <c r="G146" s="628" t="str">
        <f t="shared" ref="G146:N146" si="41">G66</f>
        <v>ml</v>
      </c>
      <c r="H146" s="628">
        <f t="shared" si="41"/>
        <v>0</v>
      </c>
      <c r="I146" s="628">
        <f t="shared" si="41"/>
        <v>0</v>
      </c>
      <c r="J146" s="628">
        <f t="shared" si="41"/>
        <v>0.99999988060184275</v>
      </c>
      <c r="K146" s="628">
        <f t="shared" si="41"/>
        <v>0</v>
      </c>
      <c r="L146" s="628">
        <f t="shared" si="41"/>
        <v>0</v>
      </c>
      <c r="M146" s="628">
        <f t="shared" si="41"/>
        <v>0</v>
      </c>
      <c r="N146" s="628">
        <f t="shared" si="41"/>
        <v>0</v>
      </c>
      <c r="O146" s="629">
        <v>3778.12</v>
      </c>
      <c r="P146" s="629">
        <f t="shared" si="40"/>
        <v>0</v>
      </c>
      <c r="Q146" s="755"/>
    </row>
    <row r="147" spans="2:17" hidden="1" x14ac:dyDescent="0.25">
      <c r="B147" s="750" t="str">
        <f>+'[3]5.Domiciliarias Colector La Yuq'!C37</f>
        <v>290.8 mm x 147.7 mm</v>
      </c>
      <c r="C147" s="752" t="e">
        <f>'FORMATO PROPUESTA ECONÓMICA'!#REF!</f>
        <v>#REF!</v>
      </c>
      <c r="D147" s="756"/>
      <c r="E147" s="634" t="e">
        <f>'FORMATO PROPUESTA ECONÓMICA'!#REF!</f>
        <v>#REF!</v>
      </c>
      <c r="F147" s="633" t="s">
        <v>424</v>
      </c>
      <c r="G147" s="628" t="str">
        <f t="shared" ref="G147:N147" si="42">G67</f>
        <v>und</v>
      </c>
      <c r="H147" s="628">
        <f t="shared" si="42"/>
        <v>0</v>
      </c>
      <c r="I147" s="628">
        <f t="shared" si="42"/>
        <v>0</v>
      </c>
      <c r="J147" s="628">
        <f t="shared" si="42"/>
        <v>0</v>
      </c>
      <c r="K147" s="628">
        <f t="shared" si="42"/>
        <v>0</v>
      </c>
      <c r="L147" s="628">
        <f t="shared" si="42"/>
        <v>0</v>
      </c>
      <c r="M147" s="628">
        <f t="shared" si="42"/>
        <v>0</v>
      </c>
      <c r="N147" s="628">
        <f t="shared" si="42"/>
        <v>0</v>
      </c>
      <c r="O147" s="629">
        <v>14618</v>
      </c>
      <c r="P147" s="629">
        <f t="shared" si="40"/>
        <v>0</v>
      </c>
      <c r="Q147" s="755"/>
    </row>
    <row r="148" spans="2:17" hidden="1" x14ac:dyDescent="0.25">
      <c r="B148" s="750" t="str">
        <f>+'[3]8.Domiciliarias B_El Bosque'!C37</f>
        <v>327.8 mm x 147.7 mm</v>
      </c>
      <c r="C148" s="752" t="e">
        <f>'FORMATO PROPUESTA ECONÓMICA'!#REF!</f>
        <v>#REF!</v>
      </c>
      <c r="D148" s="756"/>
      <c r="E148" s="634" t="e">
        <f>'FORMATO PROPUESTA ECONÓMICA'!#REF!</f>
        <v>#REF!</v>
      </c>
      <c r="F148" s="633" t="s">
        <v>426</v>
      </c>
      <c r="G148" s="628" t="str">
        <f t="shared" ref="G148:N148" si="43">G68</f>
        <v>und</v>
      </c>
      <c r="H148" s="628">
        <f t="shared" si="43"/>
        <v>0</v>
      </c>
      <c r="I148" s="628">
        <f t="shared" si="43"/>
        <v>0</v>
      </c>
      <c r="J148" s="628">
        <f t="shared" si="43"/>
        <v>0</v>
      </c>
      <c r="K148" s="628">
        <f t="shared" si="43"/>
        <v>0</v>
      </c>
      <c r="L148" s="628">
        <f t="shared" si="43"/>
        <v>0</v>
      </c>
      <c r="M148" s="628">
        <f t="shared" si="43"/>
        <v>0</v>
      </c>
      <c r="N148" s="628">
        <f t="shared" si="43"/>
        <v>0</v>
      </c>
      <c r="O148" s="629">
        <v>14618</v>
      </c>
      <c r="P148" s="629">
        <f t="shared" si="40"/>
        <v>0</v>
      </c>
      <c r="Q148" s="755"/>
    </row>
    <row r="149" spans="2:17" x14ac:dyDescent="0.25">
      <c r="B149" s="750"/>
      <c r="C149" s="752" t="e">
        <f>'FORMATO PROPUESTA ECONÓMICA'!#REF!</f>
        <v>#REF!</v>
      </c>
      <c r="D149" s="756"/>
      <c r="E149" s="634" t="e">
        <f>'FORMATO PROPUESTA ECONÓMICA'!#REF!</f>
        <v>#REF!</v>
      </c>
      <c r="F149" s="633" t="s">
        <v>425</v>
      </c>
      <c r="G149" s="628" t="str">
        <f t="shared" ref="G149:N149" si="44">G69</f>
        <v>und</v>
      </c>
      <c r="H149" s="628">
        <f t="shared" si="44"/>
        <v>0</v>
      </c>
      <c r="I149" s="628">
        <f t="shared" si="44"/>
        <v>0</v>
      </c>
      <c r="J149" s="628">
        <f t="shared" si="44"/>
        <v>0</v>
      </c>
      <c r="K149" s="628">
        <f t="shared" si="44"/>
        <v>0</v>
      </c>
      <c r="L149" s="628">
        <f t="shared" si="44"/>
        <v>0</v>
      </c>
      <c r="M149" s="628">
        <f t="shared" si="44"/>
        <v>0</v>
      </c>
      <c r="N149" s="628">
        <f t="shared" si="44"/>
        <v>480</v>
      </c>
      <c r="O149" s="629">
        <v>14618</v>
      </c>
      <c r="P149" s="629">
        <f t="shared" si="40"/>
        <v>7016640</v>
      </c>
      <c r="Q149" s="755"/>
    </row>
    <row r="150" spans="2:17" hidden="1" x14ac:dyDescent="0.25">
      <c r="B150" s="750"/>
      <c r="C150" s="752" t="e">
        <f>'FORMATO PROPUESTA ECONÓMICA'!#REF!</f>
        <v>#REF!</v>
      </c>
      <c r="D150" s="756"/>
      <c r="E150" s="634" t="e">
        <f>'FORMATO PROPUESTA ECONÓMICA'!#REF!</f>
        <v>#REF!</v>
      </c>
      <c r="F150" s="633" t="s">
        <v>427</v>
      </c>
      <c r="G150" s="628" t="str">
        <f t="shared" ref="G150:N150" si="45">G70</f>
        <v>und</v>
      </c>
      <c r="H150" s="628">
        <f t="shared" si="45"/>
        <v>0</v>
      </c>
      <c r="I150" s="628">
        <f t="shared" si="45"/>
        <v>0</v>
      </c>
      <c r="J150" s="628">
        <f t="shared" si="45"/>
        <v>0</v>
      </c>
      <c r="K150" s="628">
        <f t="shared" si="45"/>
        <v>0</v>
      </c>
      <c r="L150" s="628">
        <f t="shared" si="45"/>
        <v>0</v>
      </c>
      <c r="M150" s="628">
        <f t="shared" si="45"/>
        <v>0</v>
      </c>
      <c r="N150" s="628">
        <f t="shared" si="45"/>
        <v>0</v>
      </c>
      <c r="O150" s="629">
        <v>14618</v>
      </c>
      <c r="P150" s="629">
        <f t="shared" si="40"/>
        <v>0</v>
      </c>
      <c r="Q150" s="755"/>
    </row>
    <row r="151" spans="2:17" x14ac:dyDescent="0.25">
      <c r="B151" s="750"/>
      <c r="C151" s="752" t="e">
        <f>'FORMATO PROPUESTA ECONÓMICA'!#REF!</f>
        <v>#REF!</v>
      </c>
      <c r="D151" s="756"/>
      <c r="E151" s="634" t="e">
        <f>'FORMATO PROPUESTA ECONÓMICA'!#REF!</f>
        <v>#REF!</v>
      </c>
      <c r="F151" s="633" t="s">
        <v>428</v>
      </c>
      <c r="G151" s="628" t="str">
        <f t="shared" ref="G151:N151" si="46">G71</f>
        <v>und</v>
      </c>
      <c r="H151" s="628">
        <f t="shared" si="46"/>
        <v>0</v>
      </c>
      <c r="I151" s="628">
        <f t="shared" si="46"/>
        <v>0</v>
      </c>
      <c r="J151" s="628">
        <f t="shared" si="46"/>
        <v>0</v>
      </c>
      <c r="K151" s="628">
        <f t="shared" si="46"/>
        <v>0</v>
      </c>
      <c r="L151" s="628">
        <f t="shared" si="46"/>
        <v>0</v>
      </c>
      <c r="M151" s="628">
        <f t="shared" si="46"/>
        <v>0</v>
      </c>
      <c r="N151" s="628">
        <f t="shared" si="46"/>
        <v>146</v>
      </c>
      <c r="O151" s="629">
        <v>14618</v>
      </c>
      <c r="P151" s="629">
        <f t="shared" si="40"/>
        <v>2134228</v>
      </c>
      <c r="Q151" s="755"/>
    </row>
    <row r="152" spans="2:17" x14ac:dyDescent="0.25">
      <c r="B152" s="750"/>
      <c r="C152" s="752" t="e">
        <f>'FORMATO PROPUESTA ECONÓMICA'!#REF!</f>
        <v>#REF!</v>
      </c>
      <c r="D152" s="756"/>
      <c r="E152" s="634" t="e">
        <f>'FORMATO PROPUESTA ECONÓMICA'!#REF!</f>
        <v>#REF!</v>
      </c>
      <c r="F152" s="633" t="s">
        <v>477</v>
      </c>
      <c r="G152" s="628" t="str">
        <f t="shared" ref="G152:M152" si="47">G72</f>
        <v>und</v>
      </c>
      <c r="H152" s="628">
        <f t="shared" si="47"/>
        <v>0</v>
      </c>
      <c r="I152" s="628">
        <f t="shared" si="47"/>
        <v>0</v>
      </c>
      <c r="J152" s="628">
        <f t="shared" si="47"/>
        <v>0</v>
      </c>
      <c r="K152" s="628">
        <f t="shared" si="47"/>
        <v>0</v>
      </c>
      <c r="L152" s="628">
        <f t="shared" si="47"/>
        <v>0</v>
      </c>
      <c r="M152" s="628">
        <f t="shared" si="47"/>
        <v>0</v>
      </c>
      <c r="N152" s="628">
        <f>N72/2</f>
        <v>313</v>
      </c>
      <c r="O152" s="629">
        <v>3996</v>
      </c>
      <c r="P152" s="629">
        <f t="shared" si="40"/>
        <v>1250748</v>
      </c>
      <c r="Q152" s="755"/>
    </row>
    <row r="153" spans="2:17" hidden="1" x14ac:dyDescent="0.25">
      <c r="B153" s="750"/>
      <c r="C153" s="752" t="e">
        <f>'FORMATO PROPUESTA ECONÓMICA'!#REF!</f>
        <v>#REF!</v>
      </c>
      <c r="D153" s="756"/>
      <c r="E153" s="634" t="e">
        <f>'FORMATO PROPUESTA ECONÓMICA'!#REF!</f>
        <v>#REF!</v>
      </c>
      <c r="F153" s="633" t="s">
        <v>343</v>
      </c>
      <c r="G153" s="628" t="str">
        <f t="shared" ref="G153:N153" si="48">G73</f>
        <v>und</v>
      </c>
      <c r="H153" s="628">
        <f t="shared" si="48"/>
        <v>0</v>
      </c>
      <c r="I153" s="628">
        <f t="shared" si="48"/>
        <v>0</v>
      </c>
      <c r="J153" s="628">
        <f t="shared" si="48"/>
        <v>1</v>
      </c>
      <c r="K153" s="628">
        <f t="shared" si="48"/>
        <v>0</v>
      </c>
      <c r="L153" s="628">
        <f t="shared" si="48"/>
        <v>0</v>
      </c>
      <c r="M153" s="628">
        <f t="shared" si="48"/>
        <v>0</v>
      </c>
      <c r="N153" s="628">
        <f t="shared" si="48"/>
        <v>0</v>
      </c>
      <c r="O153" s="629">
        <v>5316</v>
      </c>
      <c r="P153" s="629">
        <f t="shared" si="40"/>
        <v>0</v>
      </c>
      <c r="Q153" s="755"/>
    </row>
    <row r="154" spans="2:17" x14ac:dyDescent="0.25">
      <c r="B154" s="750"/>
      <c r="C154" s="752" t="e">
        <f>'FORMATO PROPUESTA ECONÓMICA'!#REF!</f>
        <v>#REF!</v>
      </c>
      <c r="D154" s="756"/>
      <c r="E154" s="634" t="e">
        <f>'FORMATO PROPUESTA ECONÓMICA'!#REF!</f>
        <v>#REF!</v>
      </c>
      <c r="F154" s="633" t="s">
        <v>478</v>
      </c>
      <c r="G154" s="628" t="s">
        <v>79</v>
      </c>
      <c r="H154" s="628"/>
      <c r="I154" s="628"/>
      <c r="J154" s="628"/>
      <c r="K154" s="628"/>
      <c r="L154" s="628"/>
      <c r="M154" s="628"/>
      <c r="N154" s="628">
        <f>N72/2</f>
        <v>313</v>
      </c>
      <c r="O154" s="629">
        <v>3996</v>
      </c>
      <c r="P154" s="629">
        <f t="shared" ref="P154" si="49">IF(ISERROR(+N154*O154),"",+N154*O154)</f>
        <v>1250748</v>
      </c>
      <c r="Q154" s="755"/>
    </row>
    <row r="155" spans="2:17" x14ac:dyDescent="0.25">
      <c r="B155" s="750"/>
      <c r="C155" s="752" t="e">
        <f>'FORMATO PROPUESTA ECONÓMICA'!#REF!</f>
        <v>#REF!</v>
      </c>
      <c r="D155" s="756"/>
      <c r="E155" s="620" t="e">
        <f>'FORMATO PROPUESTA ECONÓMICA'!#REF!</f>
        <v>#REF!</v>
      </c>
      <c r="F155" s="633" t="s">
        <v>344</v>
      </c>
      <c r="G155" s="628" t="str">
        <f t="shared" ref="G155:N155" si="50">G74</f>
        <v>und</v>
      </c>
      <c r="H155" s="628">
        <f t="shared" si="50"/>
        <v>0</v>
      </c>
      <c r="I155" s="628">
        <f t="shared" si="50"/>
        <v>0</v>
      </c>
      <c r="J155" s="628">
        <f t="shared" si="50"/>
        <v>1.0000039227956519</v>
      </c>
      <c r="K155" s="628">
        <f t="shared" si="50"/>
        <v>0</v>
      </c>
      <c r="L155" s="628">
        <f t="shared" si="50"/>
        <v>0</v>
      </c>
      <c r="M155" s="628">
        <f t="shared" si="50"/>
        <v>0</v>
      </c>
      <c r="N155" s="628">
        <f t="shared" si="50"/>
        <v>80</v>
      </c>
      <c r="O155" s="629">
        <v>3996</v>
      </c>
      <c r="P155" s="629">
        <f t="shared" si="40"/>
        <v>319680</v>
      </c>
      <c r="Q155" s="755"/>
    </row>
    <row r="156" spans="2:17" x14ac:dyDescent="0.25">
      <c r="B156" s="750"/>
      <c r="C156" s="752" t="e">
        <f>'FORMATO PROPUESTA ECONÓMICA'!#REF!</f>
        <v>#REF!</v>
      </c>
      <c r="D156" s="756"/>
      <c r="E156" s="620" t="e">
        <f>'FORMATO PROPUESTA ECONÓMICA'!#REF!</f>
        <v>#REF!</v>
      </c>
      <c r="F156" s="633" t="s">
        <v>345</v>
      </c>
      <c r="G156" s="628" t="str">
        <f t="shared" ref="G156:N156" si="51">G75</f>
        <v>und</v>
      </c>
      <c r="H156" s="628">
        <f t="shared" si="51"/>
        <v>0</v>
      </c>
      <c r="I156" s="628">
        <f t="shared" si="51"/>
        <v>0</v>
      </c>
      <c r="J156" s="628">
        <f t="shared" si="51"/>
        <v>0.99999968892509594</v>
      </c>
      <c r="K156" s="628">
        <f t="shared" si="51"/>
        <v>0</v>
      </c>
      <c r="L156" s="628">
        <f t="shared" si="51"/>
        <v>0</v>
      </c>
      <c r="M156" s="628">
        <f t="shared" si="51"/>
        <v>0</v>
      </c>
      <c r="N156" s="628">
        <f t="shared" si="51"/>
        <v>376</v>
      </c>
      <c r="O156" s="629">
        <v>15225</v>
      </c>
      <c r="P156" s="629">
        <f t="shared" si="40"/>
        <v>5724600</v>
      </c>
      <c r="Q156" s="755"/>
    </row>
    <row r="157" spans="2:17" ht="90" hidden="1" x14ac:dyDescent="0.25">
      <c r="B157" s="750"/>
      <c r="C157" s="752" t="e">
        <f>'FORMATO PROPUESTA ECONÓMICA'!#REF!</f>
        <v>#REF!</v>
      </c>
      <c r="D157" s="756"/>
      <c r="E157" s="620" t="e">
        <f>'FORMATO PROPUESTA ECONÓMICA'!#REF!</f>
        <v>#REF!</v>
      </c>
      <c r="F157" s="633" t="s">
        <v>353</v>
      </c>
      <c r="G157" s="628" t="str">
        <f t="shared" ref="G157:N157" si="52">G76</f>
        <v>und</v>
      </c>
      <c r="H157" s="628">
        <f t="shared" si="52"/>
        <v>0</v>
      </c>
      <c r="I157" s="628">
        <f t="shared" si="52"/>
        <v>0</v>
      </c>
      <c r="J157" s="628">
        <f t="shared" si="52"/>
        <v>1</v>
      </c>
      <c r="K157" s="628">
        <f t="shared" si="52"/>
        <v>0</v>
      </c>
      <c r="L157" s="628">
        <f t="shared" si="52"/>
        <v>0</v>
      </c>
      <c r="M157" s="628">
        <f t="shared" si="52"/>
        <v>0</v>
      </c>
      <c r="N157" s="628">
        <f t="shared" si="52"/>
        <v>376</v>
      </c>
      <c r="O157" s="623"/>
      <c r="P157" s="623">
        <f t="shared" si="40"/>
        <v>0</v>
      </c>
      <c r="Q157" s="755"/>
    </row>
    <row r="158" spans="2:17" x14ac:dyDescent="0.25">
      <c r="B158" s="750"/>
      <c r="C158" s="752" t="e">
        <f>'FORMATO PROPUESTA ECONÓMICA'!#REF!</f>
        <v>#REF!</v>
      </c>
      <c r="D158" s="756"/>
      <c r="E158" s="620" t="e">
        <f>'FORMATO PROPUESTA ECONÓMICA'!#REF!</f>
        <v>#REF!</v>
      </c>
      <c r="F158" s="633" t="s">
        <v>346</v>
      </c>
      <c r="G158" s="628" t="str">
        <f t="shared" ref="G158:N158" si="53">G77</f>
        <v>und</v>
      </c>
      <c r="H158" s="628">
        <f t="shared" si="53"/>
        <v>0</v>
      </c>
      <c r="I158" s="628">
        <f t="shared" si="53"/>
        <v>0</v>
      </c>
      <c r="J158" s="628">
        <f t="shared" si="53"/>
        <v>1</v>
      </c>
      <c r="K158" s="628">
        <f t="shared" si="53"/>
        <v>0</v>
      </c>
      <c r="L158" s="628">
        <f t="shared" si="53"/>
        <v>0</v>
      </c>
      <c r="M158" s="628">
        <f t="shared" si="53"/>
        <v>0</v>
      </c>
      <c r="N158" s="628">
        <f t="shared" si="53"/>
        <v>376</v>
      </c>
      <c r="O158" s="629">
        <v>7350</v>
      </c>
      <c r="P158" s="629">
        <f t="shared" si="40"/>
        <v>2763600</v>
      </c>
      <c r="Q158" s="755"/>
    </row>
    <row r="159" spans="2:17" x14ac:dyDescent="0.25">
      <c r="B159" s="750" t="str">
        <f>+'[3]5.Domiciliarias Colector La Yuq'!C38</f>
        <v>415.6 mm x 147.7 mm</v>
      </c>
      <c r="C159" s="752" t="e">
        <f>'FORMATO PROPUESTA ECONÓMICA'!#REF!</f>
        <v>#REF!</v>
      </c>
      <c r="D159" s="756"/>
      <c r="E159" s="620" t="e">
        <f>'FORMATO PROPUESTA ECONÓMICA'!#REF!</f>
        <v>#REF!</v>
      </c>
      <c r="F159" s="633" t="s">
        <v>347</v>
      </c>
      <c r="G159" s="628" t="str">
        <f t="shared" ref="G159:N160" si="54">G78</f>
        <v>und</v>
      </c>
      <c r="H159" s="628">
        <f t="shared" si="54"/>
        <v>0</v>
      </c>
      <c r="I159" s="628">
        <f t="shared" si="54"/>
        <v>0</v>
      </c>
      <c r="J159" s="628">
        <f t="shared" si="54"/>
        <v>0.99995051233937871</v>
      </c>
      <c r="K159" s="628">
        <f t="shared" si="54"/>
        <v>0</v>
      </c>
      <c r="L159" s="628">
        <f t="shared" si="54"/>
        <v>0</v>
      </c>
      <c r="M159" s="628">
        <f t="shared" si="54"/>
        <v>0</v>
      </c>
      <c r="N159" s="628">
        <f t="shared" si="54"/>
        <v>376</v>
      </c>
      <c r="O159" s="629">
        <v>394</v>
      </c>
      <c r="P159" s="629">
        <f t="shared" si="40"/>
        <v>148144</v>
      </c>
      <c r="Q159" s="755"/>
    </row>
    <row r="160" spans="2:17" x14ac:dyDescent="0.25">
      <c r="B160" s="750" t="str">
        <f>+'[3]5.Domiciliarias Colector La Yuq'!C39</f>
        <v>461.8 mm x 147.7 mm</v>
      </c>
      <c r="C160" s="752" t="e">
        <f>'FORMATO PROPUESTA ECONÓMICA'!#REF!</f>
        <v>#REF!</v>
      </c>
      <c r="D160" s="756"/>
      <c r="E160" s="620" t="e">
        <f>'FORMATO PROPUESTA ECONÓMICA'!#REF!</f>
        <v>#REF!</v>
      </c>
      <c r="F160" s="633" t="s">
        <v>348</v>
      </c>
      <c r="G160" s="628" t="str">
        <f>G79</f>
        <v>und</v>
      </c>
      <c r="H160" s="628">
        <f t="shared" si="54"/>
        <v>0</v>
      </c>
      <c r="I160" s="628">
        <f t="shared" si="54"/>
        <v>0</v>
      </c>
      <c r="J160" s="628">
        <f t="shared" si="54"/>
        <v>1</v>
      </c>
      <c r="K160" s="628">
        <f t="shared" si="54"/>
        <v>0</v>
      </c>
      <c r="L160" s="628">
        <f t="shared" si="54"/>
        <v>0</v>
      </c>
      <c r="M160" s="628">
        <f t="shared" si="54"/>
        <v>0</v>
      </c>
      <c r="N160" s="628">
        <f t="shared" si="54"/>
        <v>376</v>
      </c>
      <c r="O160" s="629">
        <v>616</v>
      </c>
      <c r="P160" s="629">
        <f t="shared" si="40"/>
        <v>231616</v>
      </c>
      <c r="Q160" s="755"/>
    </row>
    <row r="161" spans="3:19" x14ac:dyDescent="0.25">
      <c r="D161" s="781"/>
    </row>
    <row r="162" spans="3:19" ht="15.75" thickBot="1" x14ac:dyDescent="0.3">
      <c r="D162" s="781"/>
      <c r="G162" s="745"/>
      <c r="H162" s="745"/>
      <c r="I162" s="745"/>
      <c r="J162" s="745"/>
      <c r="K162" s="7" t="str">
        <f>+O162</f>
        <v>OBRA CIVIL</v>
      </c>
      <c r="L162" s="7" t="str">
        <f>+P162</f>
        <v>SUMINISTRO</v>
      </c>
      <c r="M162" s="745"/>
      <c r="O162" s="7" t="str">
        <f>+F9</f>
        <v>OBRA CIVIL</v>
      </c>
      <c r="P162" s="7" t="str">
        <f>+F115</f>
        <v>SUMINISTRO</v>
      </c>
    </row>
    <row r="163" spans="3:19" x14ac:dyDescent="0.25">
      <c r="C163" s="782"/>
      <c r="D163" s="783"/>
      <c r="E163" s="783"/>
      <c r="F163" s="783" t="s">
        <v>19</v>
      </c>
      <c r="G163" s="783"/>
      <c r="H163" s="783"/>
      <c r="I163" s="783"/>
      <c r="J163" s="783"/>
      <c r="K163" s="784">
        <f>+SUM(L11:L114)</f>
        <v>0</v>
      </c>
      <c r="L163" s="784"/>
      <c r="M163" s="783"/>
      <c r="N163" s="783"/>
      <c r="O163" s="784">
        <f>+SUM(P11:P114)</f>
        <v>0</v>
      </c>
      <c r="P163" s="784"/>
    </row>
    <row r="164" spans="3:19" x14ac:dyDescent="0.25">
      <c r="C164" s="785"/>
      <c r="D164" s="786"/>
      <c r="E164" s="786"/>
      <c r="F164" s="786" t="s">
        <v>20</v>
      </c>
      <c r="G164" s="786"/>
      <c r="H164" s="786"/>
      <c r="I164" s="786"/>
      <c r="J164" s="786"/>
      <c r="K164" s="787"/>
      <c r="L164" s="787">
        <f>+SUM(L117:L160)</f>
        <v>0</v>
      </c>
      <c r="M164" s="786"/>
      <c r="N164" s="786"/>
      <c r="O164" s="787"/>
      <c r="P164" s="787">
        <f>+SUM(P117:P160)*1.16</f>
        <v>109750976.6672</v>
      </c>
    </row>
    <row r="165" spans="3:19" x14ac:dyDescent="0.25">
      <c r="C165" s="785"/>
      <c r="D165" s="786"/>
      <c r="E165" s="786"/>
      <c r="F165" s="786" t="s">
        <v>21</v>
      </c>
      <c r="G165" s="786"/>
      <c r="H165" s="786"/>
      <c r="I165" s="786"/>
      <c r="J165" s="786"/>
      <c r="K165" s="788">
        <f>+K163</f>
        <v>0</v>
      </c>
      <c r="L165" s="788">
        <f>+L164</f>
        <v>0</v>
      </c>
      <c r="M165" s="786"/>
      <c r="N165" s="786"/>
      <c r="O165" s="788">
        <f>+O163</f>
        <v>0</v>
      </c>
      <c r="P165" s="788">
        <f>+P164</f>
        <v>109750976.6672</v>
      </c>
    </row>
    <row r="166" spans="3:19" x14ac:dyDescent="0.25">
      <c r="C166" s="789"/>
      <c r="D166" s="790"/>
      <c r="E166" s="790"/>
      <c r="F166" s="791" t="s">
        <v>22</v>
      </c>
      <c r="G166" s="790"/>
      <c r="H166" s="790"/>
      <c r="I166" s="790"/>
      <c r="J166" s="790"/>
      <c r="K166" s="1427">
        <f>+L165+K165</f>
        <v>0</v>
      </c>
      <c r="L166" s="1427"/>
      <c r="M166" s="790"/>
      <c r="N166" s="790"/>
      <c r="O166" s="1427">
        <f>+P165+O165</f>
        <v>109750976.6672</v>
      </c>
      <c r="P166" s="1427"/>
    </row>
    <row r="167" spans="3:19" x14ac:dyDescent="0.25">
      <c r="C167" s="792"/>
      <c r="D167" s="793"/>
      <c r="E167" s="793"/>
      <c r="F167" s="786" t="s">
        <v>337</v>
      </c>
      <c r="G167" s="793"/>
      <c r="H167" s="793"/>
      <c r="I167" s="793"/>
      <c r="J167" s="793"/>
      <c r="K167" s="787" t="e">
        <f>+K165*$N167</f>
        <v>#DIV/0!</v>
      </c>
      <c r="L167" s="787"/>
      <c r="M167" s="793"/>
      <c r="N167" s="914" t="e">
        <f>ROUND(AU!G70,2)</f>
        <v>#DIV/0!</v>
      </c>
      <c r="O167" s="787" t="e">
        <f>+O165*$N167</f>
        <v>#DIV/0!</v>
      </c>
      <c r="P167" s="787"/>
    </row>
    <row r="168" spans="3:19" x14ac:dyDescent="0.25">
      <c r="C168" s="792"/>
      <c r="D168" s="793"/>
      <c r="E168" s="793"/>
      <c r="F168" s="786" t="s">
        <v>338</v>
      </c>
      <c r="G168" s="793"/>
      <c r="H168" s="793"/>
      <c r="I168" s="793"/>
      <c r="J168" s="793"/>
      <c r="K168" s="787"/>
      <c r="L168" s="787">
        <f>+L165*$N168</f>
        <v>0</v>
      </c>
      <c r="M168" s="793"/>
      <c r="N168" s="914">
        <v>0.08</v>
      </c>
      <c r="O168" s="787"/>
      <c r="P168" s="787">
        <f>+P165*$N168</f>
        <v>8780078.1333760004</v>
      </c>
    </row>
    <row r="169" spans="3:19" x14ac:dyDescent="0.25">
      <c r="C169" s="789"/>
      <c r="D169" s="790"/>
      <c r="E169" s="790"/>
      <c r="F169" s="791" t="s">
        <v>23</v>
      </c>
      <c r="G169" s="790"/>
      <c r="H169" s="790"/>
      <c r="I169" s="790"/>
      <c r="J169" s="790"/>
      <c r="K169" s="1427" t="e">
        <f>+K167+L168</f>
        <v>#DIV/0!</v>
      </c>
      <c r="L169" s="1427"/>
      <c r="M169" s="790"/>
      <c r="N169" s="790"/>
      <c r="O169" s="1427" t="e">
        <f>+O167+P168</f>
        <v>#DIV/0!</v>
      </c>
      <c r="P169" s="1427"/>
      <c r="S169" s="755"/>
    </row>
    <row r="170" spans="3:19" x14ac:dyDescent="0.25">
      <c r="C170" s="792"/>
      <c r="D170" s="793"/>
      <c r="E170" s="793"/>
      <c r="F170" s="786" t="s">
        <v>24</v>
      </c>
      <c r="G170" s="793"/>
      <c r="H170" s="793"/>
      <c r="I170" s="793"/>
      <c r="J170" s="793"/>
      <c r="K170" s="788" t="e">
        <f>+K167+K165</f>
        <v>#DIV/0!</v>
      </c>
      <c r="L170" s="788">
        <f>+L168+L165</f>
        <v>0</v>
      </c>
      <c r="M170" s="793"/>
      <c r="N170" s="914"/>
      <c r="O170" s="788" t="e">
        <f>+O167+O165</f>
        <v>#DIV/0!</v>
      </c>
      <c r="P170" s="788">
        <f>+P168+P165</f>
        <v>118531054.800576</v>
      </c>
    </row>
    <row r="171" spans="3:19" x14ac:dyDescent="0.25">
      <c r="C171" s="789"/>
      <c r="D171" s="790"/>
      <c r="E171" s="790"/>
      <c r="F171" s="791" t="s">
        <v>25</v>
      </c>
      <c r="G171" s="790"/>
      <c r="H171" s="790"/>
      <c r="I171" s="790"/>
      <c r="J171" s="790"/>
      <c r="K171" s="1427" t="e">
        <f>+K170+L170</f>
        <v>#DIV/0!</v>
      </c>
      <c r="L171" s="1427"/>
      <c r="M171" s="790"/>
      <c r="N171" s="790"/>
      <c r="O171" s="1427" t="e">
        <f>+O170+P170</f>
        <v>#DIV/0!</v>
      </c>
      <c r="P171" s="1427"/>
    </row>
    <row r="172" spans="3:19" x14ac:dyDescent="0.25">
      <c r="C172" s="792"/>
      <c r="D172" s="793"/>
      <c r="E172" s="793"/>
      <c r="F172" s="786" t="s">
        <v>40</v>
      </c>
      <c r="G172" s="793"/>
      <c r="H172" s="793"/>
      <c r="I172" s="793"/>
      <c r="J172" s="793"/>
      <c r="K172" s="787" t="e">
        <f>+K170*$N172</f>
        <v>#DIV/0!</v>
      </c>
      <c r="L172" s="787"/>
      <c r="M172" s="793"/>
      <c r="N172" s="914">
        <v>0.08</v>
      </c>
      <c r="O172" s="787" t="e">
        <f>+O170*$N172</f>
        <v>#DIV/0!</v>
      </c>
      <c r="P172" s="787"/>
    </row>
    <row r="173" spans="3:19" x14ac:dyDescent="0.25">
      <c r="C173" s="792"/>
      <c r="D173" s="793"/>
      <c r="E173" s="793"/>
      <c r="F173" s="786" t="s">
        <v>41</v>
      </c>
      <c r="G173" s="793"/>
      <c r="H173" s="793"/>
      <c r="I173" s="793"/>
      <c r="J173" s="793"/>
      <c r="K173" s="787"/>
      <c r="L173" s="787">
        <f>+L170*$N173</f>
        <v>0</v>
      </c>
      <c r="M173" s="793"/>
      <c r="N173" s="914">
        <v>0.02</v>
      </c>
      <c r="O173" s="787"/>
      <c r="P173" s="787">
        <f>+P170*$N173</f>
        <v>2370621.0960115199</v>
      </c>
    </row>
    <row r="174" spans="3:19" x14ac:dyDescent="0.25">
      <c r="C174" s="789"/>
      <c r="D174" s="790"/>
      <c r="E174" s="790"/>
      <c r="F174" s="791" t="s">
        <v>26</v>
      </c>
      <c r="G174" s="790"/>
      <c r="H174" s="790"/>
      <c r="I174" s="790"/>
      <c r="J174" s="790"/>
      <c r="K174" s="1427" t="e">
        <f>+L173+K172</f>
        <v>#DIV/0!</v>
      </c>
      <c r="L174" s="1427"/>
      <c r="M174" s="790"/>
      <c r="N174" s="790"/>
      <c r="O174" s="1427" t="e">
        <f>+P173+O172</f>
        <v>#DIV/0!</v>
      </c>
      <c r="P174" s="1427"/>
    </row>
    <row r="175" spans="3:19" x14ac:dyDescent="0.25">
      <c r="C175" s="792"/>
      <c r="D175" s="793"/>
      <c r="E175" s="793"/>
      <c r="F175" s="794"/>
      <c r="G175" s="793"/>
      <c r="H175" s="793"/>
      <c r="I175" s="793"/>
      <c r="J175" s="793"/>
      <c r="K175" s="788" t="e">
        <f>+K172+K170</f>
        <v>#DIV/0!</v>
      </c>
      <c r="L175" s="788">
        <f>+L173+L170</f>
        <v>0</v>
      </c>
      <c r="M175" s="793"/>
      <c r="N175" s="914"/>
      <c r="O175" s="788" t="e">
        <f>+O172+O170</f>
        <v>#DIV/0!</v>
      </c>
      <c r="P175" s="788">
        <f>+P173+P170</f>
        <v>120901675.89658752</v>
      </c>
    </row>
    <row r="176" spans="3:19" x14ac:dyDescent="0.25">
      <c r="C176" s="789"/>
      <c r="D176" s="790"/>
      <c r="E176" s="790"/>
      <c r="F176" s="795" t="s">
        <v>27</v>
      </c>
      <c r="G176" s="790"/>
      <c r="H176" s="790"/>
      <c r="I176" s="790"/>
      <c r="J176" s="790"/>
      <c r="K176" s="1427" t="e">
        <f>+K175+L175</f>
        <v>#DIV/0!</v>
      </c>
      <c r="L176" s="1427"/>
      <c r="M176" s="790"/>
      <c r="N176" s="790"/>
      <c r="O176" s="1427" t="e">
        <f>+O175+P175</f>
        <v>#DIV/0!</v>
      </c>
      <c r="P176" s="1427"/>
    </row>
    <row r="177" spans="3:16" x14ac:dyDescent="0.25">
      <c r="C177" s="792"/>
      <c r="D177" s="793"/>
      <c r="E177" s="793"/>
      <c r="F177" s="786" t="s">
        <v>28</v>
      </c>
      <c r="G177" s="793"/>
      <c r="H177" s="793"/>
      <c r="I177" s="793"/>
      <c r="J177" s="793"/>
      <c r="K177" s="787" t="e">
        <f>+K175*$N177/(1-$N177)</f>
        <v>#DIV/0!</v>
      </c>
      <c r="L177" s="787"/>
      <c r="M177" s="793"/>
      <c r="N177" s="914">
        <v>0.02</v>
      </c>
      <c r="O177" s="787" t="e">
        <f>+O175*$N177/(1-$N177)</f>
        <v>#DIV/0!</v>
      </c>
      <c r="P177" s="787"/>
    </row>
    <row r="178" spans="3:16" x14ac:dyDescent="0.25">
      <c r="C178" s="792"/>
      <c r="D178" s="793"/>
      <c r="E178" s="793"/>
      <c r="F178" s="786"/>
      <c r="G178" s="793"/>
      <c r="H178" s="793"/>
      <c r="I178" s="793"/>
      <c r="J178" s="793"/>
      <c r="K178" s="787"/>
      <c r="L178" s="787">
        <f>+L175*$N178/(1-$N178)</f>
        <v>0</v>
      </c>
      <c r="M178" s="793"/>
      <c r="N178" s="914">
        <v>0.02</v>
      </c>
      <c r="O178" s="787"/>
      <c r="P178" s="787">
        <f>+P175*$N178/(1-$N178)</f>
        <v>2467381.1407466843</v>
      </c>
    </row>
    <row r="179" spans="3:16" x14ac:dyDescent="0.25">
      <c r="C179" s="789"/>
      <c r="D179" s="790"/>
      <c r="E179" s="790"/>
      <c r="F179" s="791" t="s">
        <v>29</v>
      </c>
      <c r="G179" s="790"/>
      <c r="H179" s="790"/>
      <c r="I179" s="790"/>
      <c r="J179" s="790"/>
      <c r="K179" s="1427" t="e">
        <f>+K177+L178</f>
        <v>#DIV/0!</v>
      </c>
      <c r="L179" s="1427"/>
      <c r="M179" s="790"/>
      <c r="N179" s="790"/>
      <c r="O179" s="1427" t="e">
        <f>+O177+P178</f>
        <v>#DIV/0!</v>
      </c>
      <c r="P179" s="1427"/>
    </row>
    <row r="180" spans="3:16" x14ac:dyDescent="0.25">
      <c r="C180" s="792"/>
      <c r="D180" s="793"/>
      <c r="E180" s="793"/>
      <c r="F180" s="786" t="s">
        <v>30</v>
      </c>
      <c r="G180" s="793"/>
      <c r="H180" s="793"/>
      <c r="I180" s="793"/>
      <c r="J180" s="793"/>
      <c r="K180" s="788" t="e">
        <f>+K177+K175</f>
        <v>#DIV/0!</v>
      </c>
      <c r="L180" s="788">
        <f>+L178+L175</f>
        <v>0</v>
      </c>
      <c r="M180" s="793"/>
      <c r="N180" s="914"/>
      <c r="O180" s="788" t="e">
        <f>+O177+O175</f>
        <v>#DIV/0!</v>
      </c>
      <c r="P180" s="788">
        <f>+P178+P175</f>
        <v>123369057.0373342</v>
      </c>
    </row>
    <row r="181" spans="3:16" ht="15.75" thickBot="1" x14ac:dyDescent="0.3">
      <c r="C181" s="796"/>
      <c r="D181" s="797"/>
      <c r="E181" s="797"/>
      <c r="F181" s="798" t="s">
        <v>31</v>
      </c>
      <c r="G181" s="797"/>
      <c r="H181" s="797"/>
      <c r="I181" s="797"/>
      <c r="J181" s="797"/>
      <c r="K181" s="1429" t="e">
        <f>+K180+L180</f>
        <v>#DIV/0!</v>
      </c>
      <c r="L181" s="1429"/>
      <c r="M181" s="797"/>
      <c r="N181" s="915"/>
      <c r="O181" s="1429" t="e">
        <f>+O180+P180</f>
        <v>#DIV/0!</v>
      </c>
      <c r="P181" s="1429"/>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1"/>
  <sheetViews>
    <sheetView zoomScale="85" zoomScaleNormal="85" workbookViewId="0">
      <selection activeCell="F20" sqref="F20"/>
    </sheetView>
  </sheetViews>
  <sheetFormatPr baseColWidth="10" defaultColWidth="9.140625" defaultRowHeight="15" x14ac:dyDescent="0.25"/>
  <cols>
    <col min="1" max="1" width="3.7109375" style="745" customWidth="1"/>
    <col min="2" max="2" width="11.28515625" style="745" hidden="1" customWidth="1"/>
    <col min="3" max="3" width="14.28515625" style="750" customWidth="1"/>
    <col min="4" max="4" width="9.28515625" style="777" customWidth="1"/>
    <col min="5" max="5" width="9.5703125" style="777" customWidth="1"/>
    <col min="6" max="6" width="50.5703125" style="777" customWidth="1"/>
    <col min="7" max="7" width="11" style="777" customWidth="1"/>
    <col min="8" max="11" width="14.5703125" style="777" hidden="1" customWidth="1"/>
    <col min="12" max="13" width="15.140625" style="777" hidden="1" customWidth="1"/>
    <col min="14" max="14" width="12.42578125" style="777" customWidth="1"/>
    <col min="15" max="15" width="17.7109375" style="777" customWidth="1"/>
    <col min="16" max="16" width="21" style="777" bestFit="1" customWidth="1"/>
    <col min="17" max="17" width="3.7109375" style="745" customWidth="1"/>
    <col min="18" max="18" width="21.7109375" style="745" customWidth="1"/>
    <col min="19" max="19" width="25.5703125" style="745" customWidth="1"/>
    <col min="20" max="20" width="24.7109375" style="745" customWidth="1"/>
    <col min="21" max="16384" width="9.140625" style="745"/>
  </cols>
  <sheetData>
    <row r="2" spans="2:20" x14ac:dyDescent="0.25">
      <c r="C2" s="1428" t="s">
        <v>372</v>
      </c>
      <c r="D2" s="1428"/>
      <c r="E2" s="1428"/>
      <c r="F2" s="1428"/>
      <c r="G2" s="1428"/>
      <c r="H2" s="1428"/>
      <c r="I2" s="1428"/>
      <c r="J2" s="1428"/>
      <c r="K2" s="1428"/>
      <c r="L2" s="1428"/>
      <c r="M2" s="1428"/>
      <c r="N2" s="1428"/>
      <c r="O2" s="1428"/>
      <c r="P2" s="1428"/>
    </row>
    <row r="3" spans="2:20" x14ac:dyDescent="0.25">
      <c r="C3" s="1428"/>
      <c r="D3" s="1428"/>
      <c r="E3" s="1428"/>
      <c r="F3" s="1428"/>
      <c r="G3" s="1428"/>
      <c r="H3" s="1428"/>
      <c r="I3" s="1428"/>
      <c r="J3" s="1428"/>
      <c r="K3" s="1428"/>
      <c r="L3" s="1428"/>
      <c r="M3" s="1428"/>
      <c r="N3" s="1428"/>
      <c r="O3" s="1428"/>
      <c r="P3" s="1428"/>
    </row>
    <row r="4" spans="2:20" x14ac:dyDescent="0.25">
      <c r="C4" s="746"/>
      <c r="D4" s="746"/>
      <c r="E4" s="746"/>
      <c r="F4" s="746" t="s">
        <v>471</v>
      </c>
      <c r="G4" s="746"/>
      <c r="H4" s="746"/>
      <c r="I4" s="746"/>
      <c r="J4" s="746"/>
      <c r="K4" s="746"/>
      <c r="L4" s="746"/>
      <c r="M4" s="746"/>
      <c r="N4" s="20"/>
      <c r="O4" s="20"/>
      <c r="P4" s="20"/>
    </row>
    <row r="6" spans="2:20" ht="15" customHeight="1" x14ac:dyDescent="0.25"/>
    <row r="7" spans="2:20" ht="36" customHeight="1" x14ac:dyDescent="0.25">
      <c r="C7" s="747" t="s">
        <v>53</v>
      </c>
      <c r="D7" s="747" t="s">
        <v>0</v>
      </c>
      <c r="E7" s="747" t="s">
        <v>43</v>
      </c>
      <c r="F7" s="747" t="s">
        <v>1</v>
      </c>
      <c r="G7" s="748" t="s">
        <v>2</v>
      </c>
      <c r="H7" s="748"/>
      <c r="I7" s="748"/>
      <c r="J7" s="748"/>
      <c r="K7" s="748"/>
      <c r="L7" s="748"/>
      <c r="M7" s="748"/>
      <c r="N7" s="922" t="s">
        <v>3</v>
      </c>
      <c r="O7" s="922" t="s">
        <v>4</v>
      </c>
      <c r="P7" s="922" t="s">
        <v>5</v>
      </c>
    </row>
    <row r="8" spans="2:20" x14ac:dyDescent="0.25">
      <c r="C8" s="846"/>
      <c r="D8" s="846"/>
      <c r="E8" s="846"/>
      <c r="F8" s="846"/>
      <c r="G8" s="846"/>
      <c r="H8" s="846"/>
      <c r="I8" s="846"/>
      <c r="J8" s="846"/>
      <c r="K8" s="846"/>
      <c r="L8" s="846"/>
      <c r="M8" s="846"/>
      <c r="N8" s="923"/>
      <c r="O8" s="923"/>
      <c r="P8" s="923"/>
    </row>
    <row r="9" spans="2:20" x14ac:dyDescent="0.25">
      <c r="C9" s="747"/>
      <c r="D9" s="747"/>
      <c r="E9" s="747"/>
      <c r="F9" s="749" t="s">
        <v>19</v>
      </c>
      <c r="G9" s="747"/>
      <c r="H9" s="747"/>
      <c r="I9" s="747"/>
      <c r="J9" s="747"/>
      <c r="K9" s="747"/>
      <c r="L9" s="747"/>
      <c r="M9" s="747"/>
      <c r="N9" s="924"/>
      <c r="O9" s="924"/>
      <c r="P9" s="924"/>
    </row>
    <row r="10" spans="2:20" x14ac:dyDescent="0.25">
      <c r="B10" s="750" t="str">
        <f>+'[3]1. Colector Principal'!C13</f>
        <v>Excavación manual en material común:</v>
      </c>
      <c r="C10" s="751"/>
      <c r="D10" s="751"/>
      <c r="E10" s="42">
        <v>1</v>
      </c>
      <c r="F10" s="45" t="s">
        <v>54</v>
      </c>
      <c r="G10" s="45"/>
      <c r="H10" s="44"/>
      <c r="I10" s="44"/>
      <c r="J10" s="44"/>
      <c r="K10" s="44"/>
      <c r="L10" s="44"/>
      <c r="M10" s="44"/>
      <c r="N10" s="912"/>
      <c r="O10" s="910" t="str">
        <f>IF(D10="","",VLOOKUP(D10,#REF!,7,0))</f>
        <v/>
      </c>
      <c r="P10" s="912" t="str">
        <f>IF(ISERROR(+N10*O10),"",+N10*O10)</f>
        <v/>
      </c>
    </row>
    <row r="11" spans="2:20" ht="51" customHeight="1" x14ac:dyDescent="0.25">
      <c r="B11" s="750" t="str">
        <f>+'[3]1. Colector Principal'!C14</f>
        <v>Seco, entre 0 m y 2 m de profundidad</v>
      </c>
      <c r="C11" s="752" t="e">
        <f>'FORMATO PROPUESTA ECONÓMICA'!#REF!</f>
        <v>#REF!</v>
      </c>
      <c r="D11" s="753"/>
      <c r="E11" s="634">
        <f>'FORMATO PROPUESTA ECONÓMICA'!A8</f>
        <v>1.1000000000000001</v>
      </c>
      <c r="F11" s="621"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953">
        <v>1919.4</v>
      </c>
      <c r="O11" s="911">
        <f>'FORMATO PROPUESTA ECONÓMICA'!E8</f>
        <v>0</v>
      </c>
      <c r="P11" s="911">
        <f>IF(ISERROR(+N11*O11),"",+N11*O11)</f>
        <v>0</v>
      </c>
      <c r="Q11" s="755"/>
      <c r="S11" s="755"/>
    </row>
    <row r="12" spans="2:20" x14ac:dyDescent="0.25">
      <c r="B12" s="750" t="str">
        <f>+'[3]1. Colector Principal'!C15</f>
        <v>Seco, entre 2 m y 4 m de profundidad</v>
      </c>
      <c r="C12" s="752" t="e">
        <f>'FORMATO PROPUESTA ECONÓMICA'!#REF!</f>
        <v>#REF!</v>
      </c>
      <c r="D12" s="756"/>
      <c r="E12" s="634">
        <f>'FORMATO PROPUESTA ECONÓMICA'!A9</f>
        <v>1.2</v>
      </c>
      <c r="F12" s="627"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946">
        <f>N11*0.25</f>
        <v>479.85</v>
      </c>
      <c r="O12" s="911">
        <f>'FORMATO PROPUESTA ECONÓMICA'!E9</f>
        <v>0</v>
      </c>
      <c r="P12" s="911">
        <f>IF(ISERROR(+N12*O12),"",+N12*O12)</f>
        <v>0</v>
      </c>
      <c r="Q12" s="755"/>
      <c r="S12" s="755"/>
    </row>
    <row r="13" spans="2:20" x14ac:dyDescent="0.25">
      <c r="B13" s="750" t="str">
        <f>+'[3]1. Colector Principal'!C16</f>
        <v>Seco, mayor a 4 m de profundidad</v>
      </c>
      <c r="C13" s="752" t="e">
        <f>'FORMATO PROPUESTA ECONÓMICA'!#REF!</f>
        <v>#REF!</v>
      </c>
      <c r="D13" s="756"/>
      <c r="E13" s="634">
        <f>'FORMATO PROPUESTA ECONÓMICA'!A10</f>
        <v>1.3</v>
      </c>
      <c r="F13" s="627"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946">
        <f>521</f>
        <v>521</v>
      </c>
      <c r="O13" s="911">
        <f>'FORMATO PROPUESTA ECONÓMICA'!E10</f>
        <v>0</v>
      </c>
      <c r="P13" s="911">
        <f>IF(ISERROR(+N13*O13),"",+N13*O13)</f>
        <v>0</v>
      </c>
      <c r="Q13" s="755"/>
      <c r="S13" s="755"/>
    </row>
    <row r="14" spans="2:20" x14ac:dyDescent="0.25">
      <c r="B14" s="750" t="str">
        <f>+'[3]1. Colector Principal'!C17</f>
        <v>Húmedo , entre 0 m y 2 m de profundidad</v>
      </c>
      <c r="C14" s="752" t="e">
        <f>'FORMATO PROPUESTA ECONÓMICA'!#REF!</f>
        <v>#REF!</v>
      </c>
      <c r="D14" s="756"/>
      <c r="E14" s="634">
        <f>'FORMATO PROPUESTA ECONÓMICA'!A11</f>
        <v>1.4</v>
      </c>
      <c r="F14" s="627"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946">
        <f>N13</f>
        <v>521</v>
      </c>
      <c r="O14" s="911">
        <f>'FORMATO PROPUESTA ECONÓMICA'!E11</f>
        <v>0</v>
      </c>
      <c r="P14" s="911">
        <f>IF(ISERROR(+N14*O14),"",+N14*O14)</f>
        <v>0</v>
      </c>
      <c r="Q14" s="755"/>
      <c r="S14" s="755"/>
    </row>
    <row r="15" spans="2:20" x14ac:dyDescent="0.25">
      <c r="B15" s="750"/>
      <c r="C15" s="841"/>
      <c r="D15" s="758"/>
      <c r="E15" s="735">
        <f>'FORMATO PROPUESTA ECONÓMICA'!A12</f>
        <v>2</v>
      </c>
      <c r="F15" s="574" t="s">
        <v>60</v>
      </c>
      <c r="G15" s="44"/>
      <c r="H15" s="39"/>
      <c r="I15" s="40"/>
      <c r="J15" s="41"/>
      <c r="K15" s="40"/>
      <c r="L15" s="40"/>
      <c r="M15" s="40"/>
      <c r="N15" s="954"/>
      <c r="O15" s="912"/>
      <c r="P15" s="912"/>
      <c r="Q15" s="755"/>
      <c r="R15" s="616"/>
      <c r="S15" s="755"/>
      <c r="T15" s="745">
        <f>1.44*P15</f>
        <v>0</v>
      </c>
    </row>
    <row r="16" spans="2:20" x14ac:dyDescent="0.25">
      <c r="B16" s="750"/>
      <c r="C16" s="841"/>
      <c r="D16" s="758"/>
      <c r="E16" s="735">
        <f>'FORMATO PROPUESTA ECONÓMICA'!A13</f>
        <v>2.1</v>
      </c>
      <c r="F16" s="574" t="s">
        <v>61</v>
      </c>
      <c r="G16" s="44"/>
      <c r="H16" s="39"/>
      <c r="I16" s="40"/>
      <c r="J16" s="41"/>
      <c r="K16" s="40"/>
      <c r="L16" s="40"/>
      <c r="M16" s="40"/>
      <c r="N16" s="954"/>
      <c r="O16" s="912"/>
      <c r="P16" s="912"/>
      <c r="Q16" s="755"/>
      <c r="R16" s="616"/>
      <c r="S16" s="755"/>
    </row>
    <row r="17" spans="2:19" ht="30" x14ac:dyDescent="0.25">
      <c r="B17" s="750"/>
      <c r="C17" s="752" t="e">
        <f>'FORMATO PROPUESTA ECONÓMICA'!#REF!</f>
        <v>#REF!</v>
      </c>
      <c r="D17" s="756"/>
      <c r="E17" s="634">
        <f>'FORMATO PROPUESTA ECONÓMICA'!A14</f>
        <v>2.2000000000000002</v>
      </c>
      <c r="F17" s="632" t="s">
        <v>430</v>
      </c>
      <c r="G17" s="628" t="s">
        <v>15</v>
      </c>
      <c r="H17" s="629"/>
      <c r="I17" s="630"/>
      <c r="J17" s="631"/>
      <c r="K17" s="630"/>
      <c r="L17" s="630"/>
      <c r="M17" s="630"/>
      <c r="N17" s="947">
        <f>+N35*0.6*1+(N36+N37)*0.6*1+((N65+N66)*0.5*0.4)+2.4</f>
        <v>12979.632399999999</v>
      </c>
      <c r="O17" s="911">
        <f>'FORMATO PROPUESTA ECONÓMICA'!E14</f>
        <v>0</v>
      </c>
      <c r="P17" s="911">
        <f>IF(ISERROR(+N17*O17),"",+N17*O17)</f>
        <v>0</v>
      </c>
      <c r="Q17" s="755"/>
      <c r="R17" s="616"/>
      <c r="S17" s="755"/>
    </row>
    <row r="18" spans="2:19" ht="45" hidden="1" x14ac:dyDescent="0.25">
      <c r="B18" s="750"/>
      <c r="C18" s="752" t="e">
        <f>'FORMATO PROPUESTA ECONÓMICA'!#REF!</f>
        <v>#REF!</v>
      </c>
      <c r="D18" s="756"/>
      <c r="E18" s="620">
        <f>'FORMATO PROPUESTA ECONÓMICA'!A15</f>
        <v>2.2999999999999998</v>
      </c>
      <c r="F18" s="632" t="s">
        <v>431</v>
      </c>
      <c r="G18" s="628" t="s">
        <v>15</v>
      </c>
      <c r="H18" s="629"/>
      <c r="I18" s="630"/>
      <c r="J18" s="631"/>
      <c r="K18" s="630"/>
      <c r="L18" s="630"/>
      <c r="M18" s="630"/>
      <c r="N18" s="947"/>
      <c r="O18" s="911">
        <f>'FORMATO PROPUESTA ECONÓMICA'!E15</f>
        <v>0</v>
      </c>
      <c r="P18" s="911">
        <f>IF(ISERROR(+N18*O18),"",+N18*O18)</f>
        <v>0</v>
      </c>
      <c r="Q18" s="755"/>
      <c r="R18" s="616"/>
      <c r="S18" s="755"/>
    </row>
    <row r="19" spans="2:19" ht="90" x14ac:dyDescent="0.25">
      <c r="B19" s="750" t="str">
        <f>+'[3]1. Colector Principal'!C22</f>
        <v>Entibados en madera</v>
      </c>
      <c r="C19" s="841" t="e">
        <f>'FORMATO PROPUESTA ECONÓMICA'!#REF!</f>
        <v>#REF!</v>
      </c>
      <c r="D19" s="758"/>
      <c r="E19" s="735">
        <f>'FORMATO PROPUESTA ECONÓMICA'!A17</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954"/>
      <c r="O19" s="912"/>
      <c r="P19" s="912"/>
      <c r="Q19" s="755"/>
      <c r="R19" s="616"/>
      <c r="S19" s="755"/>
    </row>
    <row r="20" spans="2:19" ht="30" x14ac:dyDescent="0.25">
      <c r="B20" s="750"/>
      <c r="C20" s="752" t="e">
        <f>'FORMATO PROPUESTA ECONÓMICA'!#REF!</f>
        <v>#REF!</v>
      </c>
      <c r="D20" s="756"/>
      <c r="E20" s="634">
        <f>'FORMATO PROPUESTA ECONÓMICA'!A18</f>
        <v>3.1</v>
      </c>
      <c r="F20" s="633" t="s">
        <v>64</v>
      </c>
      <c r="G20" s="628" t="s">
        <v>15</v>
      </c>
      <c r="H20" s="629"/>
      <c r="I20" s="630"/>
      <c r="J20" s="631"/>
      <c r="K20" s="630"/>
      <c r="L20" s="630"/>
      <c r="M20" s="630"/>
      <c r="N20" s="946">
        <f>N17*0.2</f>
        <v>2595.9264800000001</v>
      </c>
      <c r="O20" s="911">
        <f>'FORMATO PROPUESTA ECONÓMICA'!E18</f>
        <v>0</v>
      </c>
      <c r="P20" s="911">
        <f t="shared" ref="P20:P25" si="1">IF(ISERROR(+N20*O20),"",+N20*O20)</f>
        <v>0</v>
      </c>
      <c r="Q20" s="755"/>
      <c r="R20" s="616"/>
      <c r="S20" s="755"/>
    </row>
    <row r="21" spans="2:19" ht="30" x14ac:dyDescent="0.25">
      <c r="B21" s="750"/>
      <c r="C21" s="752" t="e">
        <f>'FORMATO PROPUESTA ECONÓMICA'!#REF!</f>
        <v>#REF!</v>
      </c>
      <c r="D21" s="756"/>
      <c r="E21" s="634">
        <f>'FORMATO PROPUESTA ECONÓMICA'!A19</f>
        <v>3.2</v>
      </c>
      <c r="F21" s="633" t="s">
        <v>65</v>
      </c>
      <c r="G21" s="628" t="s">
        <v>15</v>
      </c>
      <c r="H21" s="629"/>
      <c r="I21" s="630"/>
      <c r="J21" s="631"/>
      <c r="K21" s="630"/>
      <c r="L21" s="630"/>
      <c r="M21" s="630"/>
      <c r="N21" s="946">
        <f>+N17*0.5-(N23+N24+N25)</f>
        <v>6287.3642999999993</v>
      </c>
      <c r="O21" s="911">
        <f>'FORMATO PROPUESTA ECONÓMICA'!E19</f>
        <v>0</v>
      </c>
      <c r="P21" s="911">
        <f t="shared" si="1"/>
        <v>0</v>
      </c>
      <c r="Q21" s="755"/>
      <c r="R21" s="616"/>
      <c r="S21" s="755"/>
    </row>
    <row r="22" spans="2:19" ht="30" x14ac:dyDescent="0.25">
      <c r="B22" s="750"/>
      <c r="C22" s="752" t="e">
        <f>'FORMATO PROPUESTA ECONÓMICA'!#REF!</f>
        <v>#REF!</v>
      </c>
      <c r="D22" s="756"/>
      <c r="E22" s="634">
        <f>'FORMATO PROPUESTA ECONÓMICA'!A20</f>
        <v>3.3</v>
      </c>
      <c r="F22" s="633" t="s">
        <v>66</v>
      </c>
      <c r="G22" s="628" t="s">
        <v>15</v>
      </c>
      <c r="H22" s="629"/>
      <c r="I22" s="630"/>
      <c r="J22" s="631"/>
      <c r="K22" s="630"/>
      <c r="L22" s="630"/>
      <c r="M22" s="630"/>
      <c r="N22" s="946">
        <f>N17*0.3</f>
        <v>3893.8897199999992</v>
      </c>
      <c r="O22" s="911">
        <f>'FORMATO PROPUESTA ECONÓMICA'!E20</f>
        <v>0</v>
      </c>
      <c r="P22" s="911">
        <f t="shared" si="1"/>
        <v>0</v>
      </c>
      <c r="Q22" s="755"/>
      <c r="R22" s="616"/>
      <c r="S22" s="755"/>
    </row>
    <row r="23" spans="2:19" ht="30" x14ac:dyDescent="0.25">
      <c r="B23" s="750"/>
      <c r="C23" s="752" t="e">
        <f>'FORMATO PROPUESTA ECONÓMICA'!#REF!</f>
        <v>#REF!</v>
      </c>
      <c r="D23" s="753"/>
      <c r="E23" s="634">
        <f>'FORMATO PROPUESTA ECONÓMICA'!A21</f>
        <v>3.4</v>
      </c>
      <c r="F23" s="633" t="s">
        <v>67</v>
      </c>
      <c r="G23" s="628" t="s">
        <v>15</v>
      </c>
      <c r="H23" s="629"/>
      <c r="I23" s="630"/>
      <c r="J23" s="631"/>
      <c r="K23" s="630"/>
      <c r="L23" s="630"/>
      <c r="M23" s="630"/>
      <c r="N23" s="948">
        <f>N109</f>
        <v>4.9000000000000004</v>
      </c>
      <c r="O23" s="911">
        <f>'FORMATO PROPUESTA ECONÓMICA'!E21</f>
        <v>0</v>
      </c>
      <c r="P23" s="911">
        <f t="shared" si="1"/>
        <v>0</v>
      </c>
      <c r="Q23" s="755"/>
      <c r="R23" s="616"/>
      <c r="S23" s="755"/>
    </row>
    <row r="24" spans="2:19" ht="30" x14ac:dyDescent="0.25">
      <c r="B24" s="750"/>
      <c r="C24" s="752" t="e">
        <f>'FORMATO PROPUESTA ECONÓMICA'!#REF!</f>
        <v>#REF!</v>
      </c>
      <c r="D24" s="756"/>
      <c r="E24" s="634">
        <f>'FORMATO PROPUESTA ECONÓMICA'!A22</f>
        <v>3.5</v>
      </c>
      <c r="F24" s="633" t="s">
        <v>68</v>
      </c>
      <c r="G24" s="628" t="s">
        <v>15</v>
      </c>
      <c r="H24" s="629"/>
      <c r="I24" s="630"/>
      <c r="J24" s="631"/>
      <c r="K24" s="630"/>
      <c r="L24" s="630"/>
      <c r="M24" s="630"/>
      <c r="N24" s="948">
        <f>N110</f>
        <v>96</v>
      </c>
      <c r="O24" s="911">
        <f>'FORMATO PROPUESTA ECONÓMICA'!E22</f>
        <v>0</v>
      </c>
      <c r="P24" s="911">
        <f t="shared" si="1"/>
        <v>0</v>
      </c>
      <c r="Q24" s="755"/>
      <c r="R24" s="616"/>
      <c r="S24" s="755"/>
    </row>
    <row r="25" spans="2:19" x14ac:dyDescent="0.25">
      <c r="B25" s="750"/>
      <c r="C25" s="752" t="e">
        <f>'FORMATO PROPUESTA ECONÓMICA'!#REF!</f>
        <v>#REF!</v>
      </c>
      <c r="D25" s="756"/>
      <c r="E25" s="634">
        <f>'FORMATO PROPUESTA ECONÓMICA'!A23</f>
        <v>3.6</v>
      </c>
      <c r="F25" s="633" t="s">
        <v>441</v>
      </c>
      <c r="G25" s="628" t="s">
        <v>15</v>
      </c>
      <c r="H25" s="629"/>
      <c r="I25" s="630"/>
      <c r="J25" s="631"/>
      <c r="K25" s="630"/>
      <c r="L25" s="630"/>
      <c r="M25" s="630"/>
      <c r="N25" s="948">
        <f>(N36)*0.5*0.1</f>
        <v>101.55189999999999</v>
      </c>
      <c r="O25" s="911">
        <f>'FORMATO PROPUESTA ECONÓMICA'!E23</f>
        <v>0</v>
      </c>
      <c r="P25" s="911">
        <f t="shared" si="1"/>
        <v>0</v>
      </c>
      <c r="Q25" s="755"/>
      <c r="R25" s="616"/>
      <c r="S25" s="755"/>
    </row>
    <row r="26" spans="2:19" x14ac:dyDescent="0.25">
      <c r="B26" s="750" t="str">
        <f>+'[3]1. Colector Principal'!C25</f>
        <v>Lleno y apisonado de zanjas y apiques con</v>
      </c>
      <c r="C26" s="841" t="e">
        <f>'FORMATO PROPUESTA ECONÓMICA'!#REF!</f>
        <v>#REF!</v>
      </c>
      <c r="D26" s="758"/>
      <c r="E26" s="732">
        <f>'FORMATO PROPUESTA ECONÓMICA'!A24</f>
        <v>4</v>
      </c>
      <c r="F26" s="43" t="s">
        <v>69</v>
      </c>
      <c r="G26" s="44"/>
      <c r="H26" s="39">
        <f>IF(ISERROR(VLOOKUP($D26,[4]Ppto!$A$3:$F$100,4,)),0,VLOOKUP($D26,[4]Ppto!$A$3:$F$100,4,))</f>
        <v>0</v>
      </c>
      <c r="I26" s="40">
        <f>IF(ISERROR(VLOOKUP($D26,[4]Ppto!$A$3:$F$100,5,)),0,VLOOKUP($D26,[4]Ppto!$A$3:$F$100,5,))</f>
        <v>0</v>
      </c>
      <c r="J26" s="41">
        <v>1</v>
      </c>
      <c r="K26" s="40">
        <f>+I26-O27</f>
        <v>0</v>
      </c>
      <c r="L26" s="40">
        <f t="shared" si="0"/>
        <v>0</v>
      </c>
      <c r="M26" s="40">
        <f>+L26-P26</f>
        <v>0</v>
      </c>
      <c r="N26" s="954"/>
      <c r="O26" s="912"/>
      <c r="P26" s="912"/>
      <c r="Q26" s="755"/>
      <c r="R26" s="616"/>
      <c r="S26" s="755"/>
    </row>
    <row r="27" spans="2:19" ht="30" x14ac:dyDescent="0.25">
      <c r="B27" s="750" t="str">
        <f>+'[3]1. Colector Principal'!C26</f>
        <v>Material selecto de la excavación</v>
      </c>
      <c r="C27" s="752" t="e">
        <f>'FORMATO PROPUESTA ECONÓMICA'!#REF!</f>
        <v>#REF!</v>
      </c>
      <c r="D27" s="756"/>
      <c r="E27" s="634">
        <f>'FORMATO PROPUESTA ECONÓMICA'!A25</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947">
        <f>+(N24+N23+N22+N21)+N25</f>
        <v>10383.705919999999</v>
      </c>
      <c r="O27" s="911">
        <f>'FORMATO PROPUESTA ECONÓMICA'!E25</f>
        <v>0</v>
      </c>
      <c r="P27" s="911">
        <f>IF(ISERROR(+N27*O27),"",+N27*O27)</f>
        <v>0</v>
      </c>
      <c r="Q27" s="755"/>
      <c r="R27" s="616"/>
      <c r="S27" s="755"/>
    </row>
    <row r="28" spans="2:19" ht="30" x14ac:dyDescent="0.25">
      <c r="B28" s="750" t="str">
        <f>+'[3]1. Colector Principal'!C28</f>
        <v>Cargue, retiro y botada de material sobrante</v>
      </c>
      <c r="C28" s="841" t="e">
        <f>'FORMATO PROPUESTA ECONÓMICA'!#REF!</f>
        <v>#REF!</v>
      </c>
      <c r="D28" s="758"/>
      <c r="E28" s="732">
        <f>'FORMATO PROPUESTA ECONÓMICA'!A26</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954"/>
      <c r="O28" s="912"/>
      <c r="P28" s="912"/>
      <c r="Q28" s="755"/>
      <c r="R28" s="616"/>
      <c r="S28" s="755"/>
    </row>
    <row r="29" spans="2:19" ht="30" x14ac:dyDescent="0.25">
      <c r="B29" s="750" t="str">
        <f>+'[3]1. Colector Principal'!C29</f>
        <v>Retiro y disposición final de material sobrante a cualquier distancia</v>
      </c>
      <c r="C29" s="752" t="e">
        <f>'FORMATO PROPUESTA ECONÓMICA'!#REF!</f>
        <v>#REF!</v>
      </c>
      <c r="D29" s="756"/>
      <c r="E29" s="634">
        <f>'FORMATO PROPUESTA ECONÓMICA'!A27</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947">
        <f>+N11</f>
        <v>1919.4</v>
      </c>
      <c r="O29" s="911">
        <f>'FORMATO PROPUESTA ECONÓMICA'!E27</f>
        <v>0</v>
      </c>
      <c r="P29" s="911">
        <f>IF(ISERROR(+N29*O29),"",+N29*O29)</f>
        <v>0</v>
      </c>
      <c r="Q29" s="755"/>
      <c r="R29" s="616"/>
      <c r="S29" s="755"/>
    </row>
    <row r="30" spans="2:19" ht="30" x14ac:dyDescent="0.25">
      <c r="B30" s="750"/>
      <c r="C30" s="752" t="e">
        <f>'FORMATO PROPUESTA ECONÓMICA'!#REF!</f>
        <v>#REF!</v>
      </c>
      <c r="D30" s="756"/>
      <c r="E30" s="634">
        <f>'FORMATO PROPUESTA ECONÓMICA'!A28</f>
        <v>5.2</v>
      </c>
      <c r="F30" s="633" t="s">
        <v>74</v>
      </c>
      <c r="G30" s="628" t="s">
        <v>73</v>
      </c>
      <c r="H30" s="629"/>
      <c r="I30" s="630"/>
      <c r="J30" s="631"/>
      <c r="K30" s="630"/>
      <c r="L30" s="630"/>
      <c r="M30" s="630"/>
      <c r="N30" s="947">
        <f>+N12</f>
        <v>479.85</v>
      </c>
      <c r="O30" s="911">
        <f>'FORMATO PROPUESTA ECONÓMICA'!E28</f>
        <v>0</v>
      </c>
      <c r="P30" s="911">
        <f>IF(ISERROR(+N30*O30),"",+N30*O30)</f>
        <v>0</v>
      </c>
      <c r="Q30" s="755"/>
      <c r="R30" s="616"/>
      <c r="S30" s="755"/>
    </row>
    <row r="31" spans="2:19" ht="45" x14ac:dyDescent="0.25">
      <c r="B31" s="750"/>
      <c r="C31" s="752" t="e">
        <f>'FORMATO PROPUESTA ECONÓMICA'!#REF!</f>
        <v>#REF!</v>
      </c>
      <c r="D31" s="756"/>
      <c r="E31" s="634">
        <f>'FORMATO PROPUESTA ECONÓMICA'!A29</f>
        <v>5.3</v>
      </c>
      <c r="F31" s="633" t="s">
        <v>75</v>
      </c>
      <c r="G31" s="628" t="s">
        <v>7</v>
      </c>
      <c r="H31" s="629"/>
      <c r="I31" s="630"/>
      <c r="J31" s="631"/>
      <c r="K31" s="630"/>
      <c r="L31" s="630"/>
      <c r="M31" s="630"/>
      <c r="N31" s="947">
        <f>+N13</f>
        <v>521</v>
      </c>
      <c r="O31" s="911">
        <f>'FORMATO PROPUESTA ECONÓMICA'!E29</f>
        <v>0</v>
      </c>
      <c r="P31" s="911">
        <f>IF(ISERROR(+N31*O31),"",+N31*O31)</f>
        <v>0</v>
      </c>
      <c r="Q31" s="755"/>
      <c r="R31" s="616"/>
      <c r="S31" s="755"/>
    </row>
    <row r="32" spans="2:19" ht="45" x14ac:dyDescent="0.25">
      <c r="B32" s="750"/>
      <c r="C32" s="752" t="e">
        <f>'FORMATO PROPUESTA ECONÓMICA'!#REF!</f>
        <v>#REF!</v>
      </c>
      <c r="D32" s="756"/>
      <c r="E32" s="634">
        <f>'FORMATO PROPUESTA ECONÓMICA'!A30</f>
        <v>5.4</v>
      </c>
      <c r="F32" s="633" t="s">
        <v>76</v>
      </c>
      <c r="G32" s="628" t="s">
        <v>7</v>
      </c>
      <c r="H32" s="629"/>
      <c r="I32" s="630"/>
      <c r="J32" s="631"/>
      <c r="K32" s="630"/>
      <c r="L32" s="630"/>
      <c r="M32" s="630"/>
      <c r="N32" s="947">
        <f>+N14</f>
        <v>521</v>
      </c>
      <c r="O32" s="911">
        <f>'FORMATO PROPUESTA ECONÓMICA'!E30</f>
        <v>0</v>
      </c>
      <c r="P32" s="911">
        <f>IF(ISERROR(+N32*O32),"",+N32*O32)</f>
        <v>0</v>
      </c>
      <c r="Q32" s="755"/>
      <c r="R32" s="616"/>
      <c r="S32" s="755"/>
    </row>
    <row r="33" spans="2:19" x14ac:dyDescent="0.25">
      <c r="B33" s="750"/>
      <c r="C33" s="752" t="e">
        <f>'FORMATO PROPUESTA ECONÓMICA'!#REF!</f>
        <v>#REF!</v>
      </c>
      <c r="D33" s="756"/>
      <c r="E33" s="634">
        <f>'FORMATO PROPUESTA ECONÓMICA'!A31</f>
        <v>5.5</v>
      </c>
      <c r="F33" s="633" t="s">
        <v>77</v>
      </c>
      <c r="G33" s="628" t="s">
        <v>16</v>
      </c>
      <c r="H33" s="629"/>
      <c r="I33" s="630"/>
      <c r="J33" s="631"/>
      <c r="K33" s="630"/>
      <c r="L33" s="630"/>
      <c r="M33" s="630"/>
      <c r="N33" s="947">
        <f>639*0.6</f>
        <v>383.4</v>
      </c>
      <c r="O33" s="911">
        <f>'FORMATO PROPUESTA ECONÓMICA'!E31</f>
        <v>0</v>
      </c>
      <c r="P33" s="911">
        <f>IF(ISERROR(+N33*O33),"",+N33*O33)</f>
        <v>0</v>
      </c>
      <c r="Q33" s="755"/>
      <c r="R33" s="616"/>
      <c r="S33" s="755"/>
    </row>
    <row r="34" spans="2:19" x14ac:dyDescent="0.25">
      <c r="B34" s="750" t="str">
        <f>+'[3]1. Colector Principal'!C30</f>
        <v>Construcción de Cámara de inspección de concreto de 21 MPa vaciadas en el sitio</v>
      </c>
      <c r="C34" s="841" t="e">
        <f>'FORMATO PROPUESTA ECONÓMICA'!#REF!</f>
        <v>#REF!</v>
      </c>
      <c r="D34" s="758"/>
      <c r="E34" s="732">
        <f>'FORMATO PROPUESTA ECONÓMICA'!A32</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954"/>
      <c r="O34" s="912"/>
      <c r="P34" s="912"/>
      <c r="Q34" s="755"/>
      <c r="R34" s="616"/>
      <c r="S34" s="755"/>
    </row>
    <row r="35" spans="2:19" ht="30" x14ac:dyDescent="0.25">
      <c r="B35" s="750" t="str">
        <f>+'[3]1. Colector Principal'!C31</f>
        <v>Cilindro de la cámara 1.2m, concéntrica vaciada en situ</v>
      </c>
      <c r="C35" s="752" t="e">
        <f>'FORMATO PROPUESTA ECONÓMICA'!#REF!</f>
        <v>#REF!</v>
      </c>
      <c r="D35" s="756"/>
      <c r="E35" s="634">
        <f>'FORMATO PROPUESTA ECONÓMICA'!A33</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947">
        <v>15002.016</v>
      </c>
      <c r="O35" s="911">
        <f>'FORMATO PROPUESTA ECONÓMICA'!E33</f>
        <v>0</v>
      </c>
      <c r="P35" s="911">
        <f t="shared" ref="P35:P63" si="2">IF(ISERROR(+N35*O35),"",+N35*O35)</f>
        <v>0</v>
      </c>
      <c r="Q35" s="755"/>
      <c r="R35" s="616"/>
      <c r="S35" s="755"/>
    </row>
    <row r="36" spans="2:19" ht="30" x14ac:dyDescent="0.25">
      <c r="B36" s="750" t="str">
        <f>+'[3]1. Colector Principal'!C32</f>
        <v>Cilindro de la cámara 1.5m, concéntrica vaciada en situ</v>
      </c>
      <c r="C36" s="752" t="e">
        <f>'FORMATO PROPUESTA ECONÓMICA'!#REF!</f>
        <v>#REF!</v>
      </c>
      <c r="D36" s="756"/>
      <c r="E36" s="634">
        <f>'FORMATO PROPUESTA ECONÓMICA'!A34</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947">
        <f>4647.038-N37</f>
        <v>2031.0379999999996</v>
      </c>
      <c r="O36" s="911">
        <f>'FORMATO PROPUESTA ECONÓMICA'!E34</f>
        <v>0</v>
      </c>
      <c r="P36" s="911">
        <f t="shared" si="2"/>
        <v>0</v>
      </c>
      <c r="Q36" s="755"/>
      <c r="R36" s="616"/>
      <c r="S36" s="755"/>
    </row>
    <row r="37" spans="2:19" ht="30" x14ac:dyDescent="0.25">
      <c r="B37" s="750"/>
      <c r="C37" s="752" t="e">
        <f>'FORMATO PROPUESTA ECONÓMICA'!#REF!</f>
        <v>#REF!</v>
      </c>
      <c r="D37" s="756"/>
      <c r="E37" s="634">
        <f>'FORMATO PROPUESTA ECONÓMICA'!A35</f>
        <v>6.3</v>
      </c>
      <c r="F37" s="633" t="s">
        <v>376</v>
      </c>
      <c r="G37" s="628" t="s">
        <v>59</v>
      </c>
      <c r="H37" s="629"/>
      <c r="I37" s="630"/>
      <c r="J37" s="631"/>
      <c r="K37" s="630"/>
      <c r="L37" s="630"/>
      <c r="M37" s="630"/>
      <c r="N37" s="947">
        <v>2616</v>
      </c>
      <c r="O37" s="911">
        <f>'FORMATO PROPUESTA ECONÓMICA'!E35</f>
        <v>0</v>
      </c>
      <c r="P37" s="911">
        <f t="shared" si="2"/>
        <v>0</v>
      </c>
      <c r="Q37" s="755"/>
      <c r="R37" s="616"/>
      <c r="S37" s="755"/>
    </row>
    <row r="38" spans="2:19" ht="30" hidden="1" x14ac:dyDescent="0.25">
      <c r="B38" s="750"/>
      <c r="C38" s="752" t="e">
        <f>'FORMATO PROPUESTA ECONÓMICA'!#REF!</f>
        <v>#REF!</v>
      </c>
      <c r="D38" s="756"/>
      <c r="E38" s="634">
        <f>'FORMATO PROPUESTA ECONÓMICA'!A36</f>
        <v>6.4</v>
      </c>
      <c r="F38" s="633" t="s">
        <v>377</v>
      </c>
      <c r="G38" s="628" t="s">
        <v>59</v>
      </c>
      <c r="H38" s="629"/>
      <c r="I38" s="630"/>
      <c r="J38" s="631"/>
      <c r="K38" s="630"/>
      <c r="L38" s="630"/>
      <c r="M38" s="630"/>
      <c r="N38" s="947"/>
      <c r="O38" s="911">
        <f>'FORMATO PROPUESTA ECONÓMICA'!E36</f>
        <v>0</v>
      </c>
      <c r="P38" s="911">
        <f t="shared" si="2"/>
        <v>0</v>
      </c>
      <c r="Q38" s="755"/>
      <c r="R38" s="616"/>
      <c r="S38" s="755"/>
    </row>
    <row r="39" spans="2:19" ht="30" hidden="1" x14ac:dyDescent="0.25">
      <c r="B39" s="750" t="str">
        <f>+'[3]1. Colector Principal'!C33</f>
        <v xml:space="preserve"> Base y Cañuela pozo de inspección para tuberías entre 8" a 24" (concreto f´c= 28MPa elab. en obra)</v>
      </c>
      <c r="C39" s="752" t="e">
        <f>'FORMATO PROPUESTA ECONÓMICA'!#REF!</f>
        <v>#REF!</v>
      </c>
      <c r="D39" s="756"/>
      <c r="E39" s="634">
        <f>'FORMATO PROPUESTA ECONÓMICA'!A37</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947"/>
      <c r="O39" s="911">
        <f>'FORMATO PROPUESTA ECONÓMICA'!E37</f>
        <v>0</v>
      </c>
      <c r="P39" s="911">
        <f t="shared" si="2"/>
        <v>0</v>
      </c>
      <c r="Q39" s="755"/>
      <c r="R39" s="616"/>
      <c r="S39" s="755"/>
    </row>
    <row r="40" spans="2:19" s="777" customFormat="1" ht="18.75" customHeight="1" x14ac:dyDescent="0.25">
      <c r="B40" s="750"/>
      <c r="C40" s="898" t="e">
        <f>'FORMATO PROPUESTA ECONÓMICA'!#REF!</f>
        <v>#REF!</v>
      </c>
      <c r="D40" s="899"/>
      <c r="E40" s="634">
        <f>'FORMATO PROPUESTA ECONÓMICA'!A38</f>
        <v>6.6</v>
      </c>
      <c r="F40" s="900" t="s">
        <v>382</v>
      </c>
      <c r="G40" s="628" t="s">
        <v>79</v>
      </c>
      <c r="H40" s="629"/>
      <c r="I40" s="630"/>
      <c r="J40" s="631"/>
      <c r="K40" s="630"/>
      <c r="L40" s="630"/>
      <c r="M40" s="630"/>
      <c r="N40" s="948">
        <v>60</v>
      </c>
      <c r="O40" s="911">
        <f>'FORMATO PROPUESTA ECONÓMICA'!E38</f>
        <v>0</v>
      </c>
      <c r="P40" s="911">
        <f t="shared" si="2"/>
        <v>0</v>
      </c>
      <c r="Q40" s="902"/>
      <c r="R40" s="903"/>
      <c r="S40" s="755"/>
    </row>
    <row r="41" spans="2:19" s="777" customFormat="1" ht="17.25" customHeight="1" x14ac:dyDescent="0.25">
      <c r="B41" s="750"/>
      <c r="C41" s="898" t="e">
        <f>'FORMATO PROPUESTA ECONÓMICA'!#REF!</f>
        <v>#REF!</v>
      </c>
      <c r="D41" s="899"/>
      <c r="E41" s="634">
        <f>'FORMATO PROPUESTA ECONÓMICA'!A39</f>
        <v>6.7</v>
      </c>
      <c r="F41" s="900" t="s">
        <v>381</v>
      </c>
      <c r="G41" s="628" t="s">
        <v>79</v>
      </c>
      <c r="H41" s="629"/>
      <c r="I41" s="630"/>
      <c r="J41" s="631"/>
      <c r="K41" s="630"/>
      <c r="L41" s="630"/>
      <c r="M41" s="630"/>
      <c r="N41" s="947">
        <v>6</v>
      </c>
      <c r="O41" s="911">
        <f>'FORMATO PROPUESTA ECONÓMICA'!E39</f>
        <v>0</v>
      </c>
      <c r="P41" s="911">
        <f t="shared" si="2"/>
        <v>0</v>
      </c>
      <c r="Q41" s="902"/>
      <c r="R41" s="903"/>
      <c r="S41" s="755"/>
    </row>
    <row r="42" spans="2:19" s="777" customFormat="1" ht="21.75" customHeight="1" x14ac:dyDescent="0.25">
      <c r="B42" s="750"/>
      <c r="C42" s="898" t="e">
        <f>'FORMATO PROPUESTA ECONÓMICA'!#REF!</f>
        <v>#REF!</v>
      </c>
      <c r="D42" s="899"/>
      <c r="E42" s="634">
        <f>'FORMATO PROPUESTA ECONÓMICA'!A40</f>
        <v>6.8</v>
      </c>
      <c r="F42" s="900" t="s">
        <v>383</v>
      </c>
      <c r="G42" s="628" t="s">
        <v>79</v>
      </c>
      <c r="H42" s="629"/>
      <c r="I42" s="630"/>
      <c r="J42" s="631"/>
      <c r="K42" s="630"/>
      <c r="L42" s="630"/>
      <c r="M42" s="630"/>
      <c r="N42" s="947">
        <v>2</v>
      </c>
      <c r="O42" s="911">
        <f>'FORMATO PROPUESTA ECONÓMICA'!E40</f>
        <v>0</v>
      </c>
      <c r="P42" s="911">
        <f t="shared" si="2"/>
        <v>0</v>
      </c>
      <c r="Q42" s="902"/>
      <c r="R42" s="903"/>
      <c r="S42" s="755"/>
    </row>
    <row r="43" spans="2:19" hidden="1" x14ac:dyDescent="0.25">
      <c r="B43" s="750"/>
      <c r="C43" s="752" t="e">
        <f>'FORMATO PROPUESTA ECONÓMICA'!#REF!</f>
        <v>#REF!</v>
      </c>
      <c r="D43" s="756"/>
      <c r="E43" s="634">
        <f>'FORMATO PROPUESTA ECONÓMICA'!A41</f>
        <v>6.9</v>
      </c>
      <c r="F43" s="633" t="s">
        <v>384</v>
      </c>
      <c r="G43" s="628" t="s">
        <v>79</v>
      </c>
      <c r="H43" s="629"/>
      <c r="I43" s="630"/>
      <c r="J43" s="631"/>
      <c r="K43" s="630"/>
      <c r="L43" s="630"/>
      <c r="M43" s="630"/>
      <c r="N43" s="947"/>
      <c r="O43" s="911">
        <f>'FORMATO PROPUESTA ECONÓMICA'!E41</f>
        <v>0</v>
      </c>
      <c r="P43" s="911">
        <f t="shared" si="2"/>
        <v>0</v>
      </c>
      <c r="Q43" s="755"/>
      <c r="R43" s="616"/>
      <c r="S43" s="755"/>
    </row>
    <row r="44" spans="2:19" hidden="1" x14ac:dyDescent="0.25">
      <c r="B44" s="750"/>
      <c r="C44" s="752" t="e">
        <f>'FORMATO PROPUESTA ECONÓMICA'!#REF!</f>
        <v>#REF!</v>
      </c>
      <c r="D44" s="756"/>
      <c r="E44" s="634">
        <f>'FORMATO PROPUESTA ECONÓMICA'!A42</f>
        <v>6.1</v>
      </c>
      <c r="F44" s="633" t="s">
        <v>385</v>
      </c>
      <c r="G44" s="628" t="s">
        <v>79</v>
      </c>
      <c r="H44" s="629"/>
      <c r="I44" s="630"/>
      <c r="J44" s="631"/>
      <c r="K44" s="630"/>
      <c r="L44" s="630"/>
      <c r="M44" s="630"/>
      <c r="N44" s="947"/>
      <c r="O44" s="911">
        <f>'FORMATO PROPUESTA ECONÓMICA'!E42</f>
        <v>0</v>
      </c>
      <c r="P44" s="911">
        <f t="shared" si="2"/>
        <v>0</v>
      </c>
      <c r="Q44" s="755"/>
      <c r="R44" s="616"/>
      <c r="S44" s="755"/>
    </row>
    <row r="45" spans="2:19" ht="20.25" customHeight="1" x14ac:dyDescent="0.25">
      <c r="B45" s="750"/>
      <c r="C45" s="752" t="e">
        <f>'FORMATO PROPUESTA ECONÓMICA'!#REF!</f>
        <v>#REF!</v>
      </c>
      <c r="D45" s="756"/>
      <c r="E45" s="620">
        <f>'FORMATO PROPUESTA ECONÓMICA'!A43</f>
        <v>6.11</v>
      </c>
      <c r="F45" s="633" t="s">
        <v>386</v>
      </c>
      <c r="G45" s="628" t="s">
        <v>79</v>
      </c>
      <c r="H45" s="629"/>
      <c r="I45" s="630"/>
      <c r="J45" s="631"/>
      <c r="K45" s="630"/>
      <c r="L45" s="630"/>
      <c r="M45" s="630"/>
      <c r="N45" s="947">
        <v>22</v>
      </c>
      <c r="O45" s="911">
        <f>'FORMATO PROPUESTA ECONÓMICA'!E43</f>
        <v>0</v>
      </c>
      <c r="P45" s="911">
        <f t="shared" si="2"/>
        <v>0</v>
      </c>
      <c r="Q45" s="755"/>
      <c r="R45" s="616"/>
      <c r="S45" s="755"/>
    </row>
    <row r="46" spans="2:19" ht="20.25" customHeight="1" x14ac:dyDescent="0.25">
      <c r="B46" s="750"/>
      <c r="C46" s="752" t="e">
        <f>'FORMATO PROPUESTA ECONÓMICA'!#REF!</f>
        <v>#REF!</v>
      </c>
      <c r="D46" s="756"/>
      <c r="E46" s="620">
        <f>'FORMATO PROPUESTA ECONÓMICA'!A44</f>
        <v>6.12</v>
      </c>
      <c r="F46" s="633" t="s">
        <v>445</v>
      </c>
      <c r="G46" s="628" t="s">
        <v>79</v>
      </c>
      <c r="H46" s="629"/>
      <c r="I46" s="630"/>
      <c r="J46" s="631"/>
      <c r="K46" s="630"/>
      <c r="L46" s="630"/>
      <c r="M46" s="630"/>
      <c r="N46" s="948">
        <v>12</v>
      </c>
      <c r="O46" s="911">
        <f>'FORMATO PROPUESTA ECONÓMICA'!E44</f>
        <v>0</v>
      </c>
      <c r="P46" s="911">
        <f t="shared" si="2"/>
        <v>0</v>
      </c>
      <c r="Q46" s="755"/>
      <c r="R46" s="616"/>
      <c r="S46" s="755"/>
    </row>
    <row r="47" spans="2:19" ht="21.75" customHeight="1" x14ac:dyDescent="0.25">
      <c r="B47" s="750"/>
      <c r="C47" s="752" t="e">
        <f>'FORMATO PROPUESTA ECONÓMICA'!#REF!</f>
        <v>#REF!</v>
      </c>
      <c r="D47" s="756"/>
      <c r="E47" s="620">
        <f>'FORMATO PROPUESTA ECONÓMICA'!A45</f>
        <v>6.13</v>
      </c>
      <c r="F47" s="633" t="s">
        <v>387</v>
      </c>
      <c r="G47" s="628" t="s">
        <v>79</v>
      </c>
      <c r="H47" s="629"/>
      <c r="I47" s="630"/>
      <c r="J47" s="631"/>
      <c r="K47" s="630"/>
      <c r="L47" s="630"/>
      <c r="M47" s="630"/>
      <c r="N47" s="947">
        <v>50</v>
      </c>
      <c r="O47" s="911">
        <f>'FORMATO PROPUESTA ECONÓMICA'!E45</f>
        <v>0</v>
      </c>
      <c r="P47" s="911">
        <f t="shared" si="2"/>
        <v>0</v>
      </c>
      <c r="Q47" s="755"/>
      <c r="R47" s="616"/>
      <c r="S47" s="755"/>
    </row>
    <row r="48" spans="2:19" x14ac:dyDescent="0.25">
      <c r="B48" s="750"/>
      <c r="C48" s="752" t="e">
        <f>'FORMATO PROPUESTA ECONÓMICA'!#REF!</f>
        <v>#REF!</v>
      </c>
      <c r="D48" s="756"/>
      <c r="E48" s="620">
        <f>'FORMATO PROPUESTA ECONÓMICA'!A46</f>
        <v>6.14</v>
      </c>
      <c r="F48" s="633" t="s">
        <v>388</v>
      </c>
      <c r="G48" s="628" t="s">
        <v>79</v>
      </c>
      <c r="H48" s="629"/>
      <c r="I48" s="630"/>
      <c r="J48" s="631"/>
      <c r="K48" s="630"/>
      <c r="L48" s="630"/>
      <c r="M48" s="630"/>
      <c r="N48" s="947">
        <v>180</v>
      </c>
      <c r="O48" s="911">
        <f>'FORMATO PROPUESTA ECONÓMICA'!E46</f>
        <v>0</v>
      </c>
      <c r="P48" s="911">
        <f t="shared" si="2"/>
        <v>0</v>
      </c>
      <c r="Q48" s="755"/>
      <c r="R48" s="616"/>
      <c r="S48" s="755"/>
    </row>
    <row r="49" spans="2:19" hidden="1" x14ac:dyDescent="0.25">
      <c r="B49" s="750"/>
      <c r="C49" s="752" t="e">
        <f>'FORMATO PROPUESTA ECONÓMICA'!#REF!</f>
        <v>#REF!</v>
      </c>
      <c r="D49" s="756"/>
      <c r="E49" s="620">
        <f>'FORMATO PROPUESTA ECONÓMICA'!A47</f>
        <v>6.15</v>
      </c>
      <c r="F49" s="633" t="s">
        <v>389</v>
      </c>
      <c r="G49" s="628" t="s">
        <v>79</v>
      </c>
      <c r="H49" s="629"/>
      <c r="I49" s="630"/>
      <c r="J49" s="631"/>
      <c r="K49" s="630"/>
      <c r="L49" s="630"/>
      <c r="M49" s="630"/>
      <c r="N49" s="947"/>
      <c r="O49" s="911">
        <f>'FORMATO PROPUESTA ECONÓMICA'!E47</f>
        <v>0</v>
      </c>
      <c r="P49" s="911">
        <f t="shared" si="2"/>
        <v>0</v>
      </c>
      <c r="Q49" s="755"/>
      <c r="R49" s="616"/>
      <c r="S49" s="755"/>
    </row>
    <row r="50" spans="2:19" x14ac:dyDescent="0.25">
      <c r="B50" s="750"/>
      <c r="C50" s="752" t="e">
        <f>'FORMATO PROPUESTA ECONÓMICA'!#REF!</f>
        <v>#REF!</v>
      </c>
      <c r="D50" s="756"/>
      <c r="E50" s="620">
        <f>'FORMATO PROPUESTA ECONÓMICA'!A48</f>
        <v>6.16</v>
      </c>
      <c r="F50" s="633" t="s">
        <v>390</v>
      </c>
      <c r="G50" s="628" t="s">
        <v>79</v>
      </c>
      <c r="H50" s="629"/>
      <c r="I50" s="630"/>
      <c r="J50" s="631"/>
      <c r="K50" s="630"/>
      <c r="L50" s="630"/>
      <c r="M50" s="630"/>
      <c r="N50" s="947">
        <v>6</v>
      </c>
      <c r="O50" s="911">
        <f>'FORMATO PROPUESTA ECONÓMICA'!E48</f>
        <v>0</v>
      </c>
      <c r="P50" s="911">
        <f t="shared" si="2"/>
        <v>0</v>
      </c>
      <c r="Q50" s="755"/>
      <c r="R50" s="616"/>
      <c r="S50" s="755"/>
    </row>
    <row r="51" spans="2:19" hidden="1" x14ac:dyDescent="0.25">
      <c r="B51" s="750"/>
      <c r="C51" s="752" t="e">
        <f>'FORMATO PROPUESTA ECONÓMICA'!#REF!</f>
        <v>#REF!</v>
      </c>
      <c r="D51" s="756"/>
      <c r="E51" s="620">
        <f>'FORMATO PROPUESTA ECONÓMICA'!A49</f>
        <v>6.17</v>
      </c>
      <c r="F51" s="633" t="s">
        <v>391</v>
      </c>
      <c r="G51" s="628" t="s">
        <v>79</v>
      </c>
      <c r="H51" s="629"/>
      <c r="I51" s="630"/>
      <c r="J51" s="631"/>
      <c r="K51" s="630"/>
      <c r="L51" s="630"/>
      <c r="M51" s="630"/>
      <c r="N51" s="947"/>
      <c r="O51" s="911">
        <f>'FORMATO PROPUESTA ECONÓMICA'!E49</f>
        <v>0</v>
      </c>
      <c r="P51" s="911">
        <f t="shared" si="2"/>
        <v>0</v>
      </c>
      <c r="Q51" s="755"/>
      <c r="R51" s="616"/>
      <c r="S51" s="755"/>
    </row>
    <row r="52" spans="2:19" hidden="1" x14ac:dyDescent="0.25">
      <c r="B52" s="750"/>
      <c r="C52" s="752" t="e">
        <f>'FORMATO PROPUESTA ECONÓMICA'!#REF!</f>
        <v>#REF!</v>
      </c>
      <c r="D52" s="756"/>
      <c r="E52" s="620">
        <f>'FORMATO PROPUESTA ECONÓMICA'!A50</f>
        <v>6.18</v>
      </c>
      <c r="F52" s="633" t="s">
        <v>392</v>
      </c>
      <c r="G52" s="628" t="s">
        <v>79</v>
      </c>
      <c r="H52" s="629"/>
      <c r="I52" s="630"/>
      <c r="J52" s="631"/>
      <c r="K52" s="630"/>
      <c r="L52" s="630"/>
      <c r="M52" s="630"/>
      <c r="N52" s="947"/>
      <c r="O52" s="911">
        <f>'FORMATO PROPUESTA ECONÓMICA'!E50</f>
        <v>0</v>
      </c>
      <c r="P52" s="911">
        <f t="shared" si="2"/>
        <v>0</v>
      </c>
      <c r="Q52" s="755"/>
      <c r="R52" s="616"/>
      <c r="S52" s="755"/>
    </row>
    <row r="53" spans="2:19" s="777" customFormat="1" ht="42" customHeight="1" x14ac:dyDescent="0.25">
      <c r="B53" s="750"/>
      <c r="C53" s="898" t="e">
        <f>'FORMATO PROPUESTA ECONÓMICA'!#REF!</f>
        <v>#REF!</v>
      </c>
      <c r="D53" s="899"/>
      <c r="E53" s="620">
        <f>'FORMATO PROPUESTA ECONÓMICA'!A51</f>
        <v>6.19</v>
      </c>
      <c r="F53" s="711" t="s">
        <v>393</v>
      </c>
      <c r="G53" s="622" t="s">
        <v>79</v>
      </c>
      <c r="H53" s="623"/>
      <c r="I53" s="624"/>
      <c r="J53" s="625"/>
      <c r="K53" s="624"/>
      <c r="L53" s="624"/>
      <c r="M53" s="624"/>
      <c r="N53" s="1014">
        <v>2</v>
      </c>
      <c r="O53" s="911">
        <f>'FORMATO PROPUESTA ECONÓMICA'!E51</f>
        <v>0</v>
      </c>
      <c r="P53" s="837">
        <f t="shared" si="2"/>
        <v>0</v>
      </c>
      <c r="Q53" s="902"/>
      <c r="R53" s="903"/>
      <c r="S53" s="755"/>
    </row>
    <row r="54" spans="2:19" hidden="1" x14ac:dyDescent="0.25">
      <c r="B54" s="750"/>
      <c r="C54" s="752" t="e">
        <f>'FORMATO PROPUESTA ECONÓMICA'!#REF!</f>
        <v>#REF!</v>
      </c>
      <c r="D54" s="756"/>
      <c r="E54" s="620">
        <f>'FORMATO PROPUESTA ECONÓMICA'!A52</f>
        <v>6.2</v>
      </c>
      <c r="F54" s="633" t="s">
        <v>394</v>
      </c>
      <c r="G54" s="628" t="s">
        <v>79</v>
      </c>
      <c r="H54" s="629"/>
      <c r="I54" s="630"/>
      <c r="J54" s="631"/>
      <c r="K54" s="630"/>
      <c r="L54" s="630"/>
      <c r="M54" s="630"/>
      <c r="N54" s="947"/>
      <c r="O54" s="911">
        <f>'FORMATO PROPUESTA ECONÓMICA'!E52</f>
        <v>0</v>
      </c>
      <c r="P54" s="911">
        <f t="shared" si="2"/>
        <v>0</v>
      </c>
      <c r="Q54" s="755"/>
      <c r="R54" s="616"/>
      <c r="S54" s="755"/>
    </row>
    <row r="55" spans="2:19" ht="30" hidden="1" x14ac:dyDescent="0.25">
      <c r="B55" s="750"/>
      <c r="C55" s="752" t="e">
        <f>'FORMATO PROPUESTA ECONÓMICA'!#REF!</f>
        <v>#REF!</v>
      </c>
      <c r="D55" s="756"/>
      <c r="E55" s="620">
        <f>'FORMATO PROPUESTA ECONÓMICA'!A53</f>
        <v>6.21</v>
      </c>
      <c r="F55" s="633" t="s">
        <v>395</v>
      </c>
      <c r="G55" s="628" t="s">
        <v>79</v>
      </c>
      <c r="H55" s="629"/>
      <c r="I55" s="630"/>
      <c r="J55" s="631"/>
      <c r="K55" s="630"/>
      <c r="L55" s="630"/>
      <c r="M55" s="630"/>
      <c r="N55" s="946"/>
      <c r="O55" s="911">
        <f>'FORMATO PROPUESTA ECONÓMICA'!E53</f>
        <v>0</v>
      </c>
      <c r="P55" s="911">
        <f t="shared" si="2"/>
        <v>0</v>
      </c>
      <c r="Q55" s="755"/>
      <c r="R55" s="616"/>
      <c r="S55" s="755"/>
    </row>
    <row r="56" spans="2:19" ht="30" hidden="1" x14ac:dyDescent="0.25">
      <c r="B56" s="750"/>
      <c r="C56" s="752" t="e">
        <f>'FORMATO PROPUESTA ECONÓMICA'!#REF!</f>
        <v>#REF!</v>
      </c>
      <c r="D56" s="756"/>
      <c r="E56" s="620">
        <f>'FORMATO PROPUESTA ECONÓMICA'!A54</f>
        <v>6.22</v>
      </c>
      <c r="F56" s="633" t="s">
        <v>396</v>
      </c>
      <c r="G56" s="628" t="s">
        <v>79</v>
      </c>
      <c r="H56" s="629"/>
      <c r="I56" s="630"/>
      <c r="J56" s="631"/>
      <c r="K56" s="630"/>
      <c r="L56" s="630"/>
      <c r="M56" s="630"/>
      <c r="N56" s="946"/>
      <c r="O56" s="911">
        <f>'FORMATO PROPUESTA ECONÓMICA'!E54</f>
        <v>0</v>
      </c>
      <c r="P56" s="911">
        <f t="shared" si="2"/>
        <v>0</v>
      </c>
      <c r="Q56" s="755"/>
      <c r="R56" s="616"/>
      <c r="S56" s="755"/>
    </row>
    <row r="57" spans="2:19" x14ac:dyDescent="0.25">
      <c r="B57" s="750"/>
      <c r="C57" s="752" t="e">
        <f>'FORMATO PROPUESTA ECONÓMICA'!#REF!</f>
        <v>#REF!</v>
      </c>
      <c r="D57" s="756"/>
      <c r="E57" s="620">
        <f>'FORMATO PROPUESTA ECONÓMICA'!A55</f>
        <v>6.23</v>
      </c>
      <c r="F57" s="633" t="s">
        <v>397</v>
      </c>
      <c r="G57" s="628" t="s">
        <v>79</v>
      </c>
      <c r="H57" s="629"/>
      <c r="I57" s="630"/>
      <c r="J57" s="631"/>
      <c r="K57" s="630"/>
      <c r="L57" s="630"/>
      <c r="M57" s="630"/>
      <c r="N57" s="946">
        <f>60*8</f>
        <v>480</v>
      </c>
      <c r="O57" s="911">
        <f>'FORMATO PROPUESTA ECONÓMICA'!E55</f>
        <v>0</v>
      </c>
      <c r="P57" s="911">
        <f t="shared" si="2"/>
        <v>0</v>
      </c>
      <c r="Q57" s="755"/>
      <c r="R57" s="616"/>
      <c r="S57" s="755"/>
    </row>
    <row r="58" spans="2:19" x14ac:dyDescent="0.25">
      <c r="B58" s="750"/>
      <c r="C58" s="752" t="e">
        <f>'FORMATO PROPUESTA ECONÓMICA'!#REF!</f>
        <v>#REF!</v>
      </c>
      <c r="D58" s="756"/>
      <c r="E58" s="620">
        <f>'FORMATO PROPUESTA ECONÓMICA'!A56</f>
        <v>6.24</v>
      </c>
      <c r="F58" s="633" t="s">
        <v>398</v>
      </c>
      <c r="G58" s="628" t="s">
        <v>79</v>
      </c>
      <c r="H58" s="629"/>
      <c r="I58" s="630"/>
      <c r="J58" s="631"/>
      <c r="K58" s="630"/>
      <c r="L58" s="630"/>
      <c r="M58" s="630"/>
      <c r="N58" s="946">
        <f>N87</f>
        <v>26</v>
      </c>
      <c r="O58" s="911">
        <f>'FORMATO PROPUESTA ECONÓMICA'!E56</f>
        <v>0</v>
      </c>
      <c r="P58" s="911">
        <f t="shared" si="2"/>
        <v>0</v>
      </c>
      <c r="Q58" s="755"/>
      <c r="R58" s="616"/>
      <c r="S58" s="755"/>
    </row>
    <row r="59" spans="2:19" x14ac:dyDescent="0.25">
      <c r="B59" s="750"/>
      <c r="C59" s="752" t="e">
        <f>'FORMATO PROPUESTA ECONÓMICA'!#REF!</f>
        <v>#REF!</v>
      </c>
      <c r="D59" s="756"/>
      <c r="E59" s="620">
        <f>'FORMATO PROPUESTA ECONÓMICA'!A57</f>
        <v>6.25</v>
      </c>
      <c r="F59" s="633" t="s">
        <v>399</v>
      </c>
      <c r="G59" s="628" t="s">
        <v>79</v>
      </c>
      <c r="H59" s="629"/>
      <c r="I59" s="630"/>
      <c r="J59" s="631"/>
      <c r="K59" s="630"/>
      <c r="L59" s="630"/>
      <c r="M59" s="630"/>
      <c r="N59" s="946">
        <f>N88</f>
        <v>8</v>
      </c>
      <c r="O59" s="911">
        <f>'FORMATO PROPUESTA ECONÓMICA'!E57</f>
        <v>0</v>
      </c>
      <c r="P59" s="911">
        <f t="shared" si="2"/>
        <v>0</v>
      </c>
      <c r="Q59" s="755"/>
      <c r="R59" s="616"/>
      <c r="S59" s="755"/>
    </row>
    <row r="60" spans="2:19" hidden="1" x14ac:dyDescent="0.25">
      <c r="B60" s="750"/>
      <c r="C60" s="752" t="e">
        <f>'FORMATO PROPUESTA ECONÓMICA'!#REF!</f>
        <v>#REF!</v>
      </c>
      <c r="D60" s="756"/>
      <c r="E60" s="620">
        <f>'FORMATO PROPUESTA ECONÓMICA'!A58</f>
        <v>6.26</v>
      </c>
      <c r="F60" s="633" t="s">
        <v>400</v>
      </c>
      <c r="G60" s="628" t="s">
        <v>79</v>
      </c>
      <c r="H60" s="629"/>
      <c r="I60" s="630"/>
      <c r="J60" s="631"/>
      <c r="K60" s="630"/>
      <c r="L60" s="630"/>
      <c r="M60" s="630"/>
      <c r="N60" s="946"/>
      <c r="O60" s="911">
        <f>'FORMATO PROPUESTA ECONÓMICA'!E58</f>
        <v>0</v>
      </c>
      <c r="P60" s="911">
        <f t="shared" si="2"/>
        <v>0</v>
      </c>
      <c r="Q60" s="755"/>
      <c r="R60" s="616"/>
      <c r="S60" s="755"/>
    </row>
    <row r="61" spans="2:19" x14ac:dyDescent="0.25">
      <c r="B61" s="750"/>
      <c r="C61" s="752" t="e">
        <f>'FORMATO PROPUESTA ECONÓMICA'!#REF!</f>
        <v>#REF!</v>
      </c>
      <c r="D61" s="756"/>
      <c r="E61" s="620">
        <f>'FORMATO PROPUESTA ECONÓMICA'!A59</f>
        <v>6.27</v>
      </c>
      <c r="F61" s="633" t="s">
        <v>401</v>
      </c>
      <c r="G61" s="628" t="s">
        <v>79</v>
      </c>
      <c r="H61" s="629"/>
      <c r="I61" s="630"/>
      <c r="J61" s="631"/>
      <c r="K61" s="630"/>
      <c r="L61" s="630"/>
      <c r="M61" s="630"/>
      <c r="N61" s="946">
        <v>2</v>
      </c>
      <c r="O61" s="911">
        <f>'FORMATO PROPUESTA ECONÓMICA'!E59</f>
        <v>0</v>
      </c>
      <c r="P61" s="911">
        <f t="shared" si="2"/>
        <v>0</v>
      </c>
      <c r="Q61" s="755"/>
      <c r="R61" s="616"/>
      <c r="S61" s="755"/>
    </row>
    <row r="62" spans="2:19" ht="30" hidden="1" x14ac:dyDescent="0.25">
      <c r="B62" s="750"/>
      <c r="C62" s="752" t="e">
        <f>'FORMATO PROPUESTA ECONÓMICA'!#REF!</f>
        <v>#REF!</v>
      </c>
      <c r="D62" s="756"/>
      <c r="E62" s="620">
        <f>'FORMATO PROPUESTA ECONÓMICA'!A60</f>
        <v>6.28</v>
      </c>
      <c r="F62" s="633" t="s">
        <v>80</v>
      </c>
      <c r="G62" s="628" t="s">
        <v>79</v>
      </c>
      <c r="H62" s="629"/>
      <c r="I62" s="630"/>
      <c r="J62" s="631"/>
      <c r="K62" s="630"/>
      <c r="L62" s="630"/>
      <c r="M62" s="630"/>
      <c r="N62" s="946"/>
      <c r="O62" s="911">
        <f>'FORMATO PROPUESTA ECONÓMICA'!E60</f>
        <v>0</v>
      </c>
      <c r="P62" s="911">
        <f t="shared" si="2"/>
        <v>0</v>
      </c>
      <c r="Q62" s="755"/>
      <c r="R62" s="616"/>
      <c r="S62" s="755"/>
    </row>
    <row r="63" spans="2:19" ht="30" x14ac:dyDescent="0.25">
      <c r="B63" s="750"/>
      <c r="C63" s="752" t="e">
        <f>'FORMATO PROPUESTA ECONÓMICA'!#REF!</f>
        <v>#REF!</v>
      </c>
      <c r="D63" s="756"/>
      <c r="E63" s="620">
        <f>'FORMATO PROPUESTA ECONÓMICA'!A61</f>
        <v>6.29</v>
      </c>
      <c r="F63" s="633" t="s">
        <v>81</v>
      </c>
      <c r="G63" s="628" t="s">
        <v>79</v>
      </c>
      <c r="H63" s="629"/>
      <c r="I63" s="630"/>
      <c r="J63" s="631"/>
      <c r="K63" s="630"/>
      <c r="L63" s="630"/>
      <c r="M63" s="630"/>
      <c r="N63" s="946">
        <v>2</v>
      </c>
      <c r="O63" s="911">
        <f>'FORMATO PROPUESTA ECONÓMICA'!E61</f>
        <v>0</v>
      </c>
      <c r="P63" s="911">
        <f t="shared" si="2"/>
        <v>0</v>
      </c>
      <c r="Q63" s="755"/>
      <c r="R63" s="616"/>
      <c r="S63" s="755"/>
    </row>
    <row r="64" spans="2:19" ht="30" x14ac:dyDescent="0.25">
      <c r="B64" s="750" t="str">
        <f>+'[3]1. Colector Principal'!C40</f>
        <v>Suministro, transporte y colocación de entresuelo para cimentaciones y apoyo de tubería:</v>
      </c>
      <c r="C64" s="841" t="e">
        <f>'FORMATO PROPUESTA ECONÓMICA'!#REF!</f>
        <v>#REF!</v>
      </c>
      <c r="D64" s="758"/>
      <c r="E64" s="732">
        <f>'FORMATO PROPUESTA ECONÓMICA'!A62</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954"/>
      <c r="O64" s="912"/>
      <c r="P64" s="912"/>
      <c r="Q64" s="755"/>
      <c r="R64" s="616"/>
      <c r="S64" s="755"/>
    </row>
    <row r="65" spans="2:19" ht="30" x14ac:dyDescent="0.25">
      <c r="B65" s="750" t="str">
        <f>+'[3]1. Colector Principal'!C41</f>
        <v>S.T.I Lleno con triturado 3/4" (19mm) y 1" (25mm)</v>
      </c>
      <c r="C65" s="752" t="e">
        <f>'FORMATO PROPUESTA ECONÓMICA'!#REF!</f>
        <v>#REF!</v>
      </c>
      <c r="D65" s="756"/>
      <c r="E65" s="634">
        <f>'FORMATO PROPUESTA ECONÓMICA'!A63</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955">
        <f>N67*3</f>
        <v>5889</v>
      </c>
      <c r="O65" s="911">
        <f>'FORMATO PROPUESTA ECONÓMICA'!E63</f>
        <v>0</v>
      </c>
      <c r="P65" s="911">
        <f t="shared" ref="P65:P79" si="3">IF(ISERROR(+N65*O65),"",+N65*O65)</f>
        <v>0</v>
      </c>
      <c r="Q65" s="755"/>
      <c r="R65" s="616"/>
      <c r="S65" s="755"/>
    </row>
    <row r="66" spans="2:19" ht="30" x14ac:dyDescent="0.25">
      <c r="B66" s="750" t="str">
        <f>+'[3]1. Colector Principal'!C42</f>
        <v>S.T.I Lleno con arenilla 3/4" (19mm) y 1" (25mm)</v>
      </c>
      <c r="C66" s="752" t="e">
        <f>'FORMATO PROPUESTA ECONÓMICA'!#REF!</f>
        <v>#REF!</v>
      </c>
      <c r="D66" s="756"/>
      <c r="E66" s="634">
        <f>'FORMATO PROPUESTA ECONÓMICA'!A64</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949">
        <f>5*N68</f>
        <v>50</v>
      </c>
      <c r="O66" s="911">
        <f>'FORMATO PROPUESTA ECONÓMICA'!E64</f>
        <v>0</v>
      </c>
      <c r="P66" s="911">
        <f t="shared" si="3"/>
        <v>0</v>
      </c>
      <c r="Q66" s="755"/>
      <c r="R66" s="616"/>
      <c r="S66" s="755"/>
    </row>
    <row r="67" spans="2:19" x14ac:dyDescent="0.25">
      <c r="B67" s="750"/>
      <c r="C67" s="752" t="e">
        <f>'FORMATO PROPUESTA ECONÓMICA'!#REF!</f>
        <v>#REF!</v>
      </c>
      <c r="D67" s="756"/>
      <c r="E67" s="634">
        <f>'FORMATO PROPUESTA ECONÓMICA'!A65</f>
        <v>7.3</v>
      </c>
      <c r="F67" s="633" t="s">
        <v>424</v>
      </c>
      <c r="G67" s="628" t="s">
        <v>79</v>
      </c>
      <c r="H67" s="629"/>
      <c r="I67" s="630"/>
      <c r="J67" s="631"/>
      <c r="K67" s="630"/>
      <c r="L67" s="630"/>
      <c r="M67" s="630"/>
      <c r="N67" s="955">
        <v>1963</v>
      </c>
      <c r="O67" s="911">
        <f>'FORMATO PROPUESTA ECONÓMICA'!E65</f>
        <v>0</v>
      </c>
      <c r="P67" s="911">
        <f t="shared" si="3"/>
        <v>0</v>
      </c>
      <c r="Q67" s="755"/>
      <c r="R67" s="616"/>
      <c r="S67" s="755"/>
    </row>
    <row r="68" spans="2:19" x14ac:dyDescent="0.25">
      <c r="B68" s="750"/>
      <c r="C68" s="752" t="e">
        <f>'FORMATO PROPUESTA ECONÓMICA'!#REF!</f>
        <v>#REF!</v>
      </c>
      <c r="D68" s="756"/>
      <c r="E68" s="634">
        <f>'FORMATO PROPUESTA ECONÓMICA'!A66</f>
        <v>7.4</v>
      </c>
      <c r="F68" s="633" t="s">
        <v>426</v>
      </c>
      <c r="G68" s="628" t="s">
        <v>79</v>
      </c>
      <c r="H68" s="629"/>
      <c r="I68" s="630"/>
      <c r="J68" s="631"/>
      <c r="K68" s="630"/>
      <c r="L68" s="630"/>
      <c r="M68" s="630"/>
      <c r="N68" s="955">
        <v>10</v>
      </c>
      <c r="O68" s="911">
        <f>'FORMATO PROPUESTA ECONÓMICA'!E66</f>
        <v>0</v>
      </c>
      <c r="P68" s="911">
        <f t="shared" si="3"/>
        <v>0</v>
      </c>
      <c r="Q68" s="755"/>
      <c r="R68" s="616"/>
      <c r="S68" s="755"/>
    </row>
    <row r="69" spans="2:19" hidden="1" x14ac:dyDescent="0.25">
      <c r="B69" s="750"/>
      <c r="C69" s="752" t="e">
        <f>'FORMATO PROPUESTA ECONÓMICA'!#REF!</f>
        <v>#REF!</v>
      </c>
      <c r="D69" s="756"/>
      <c r="E69" s="634">
        <f>'FORMATO PROPUESTA ECONÓMICA'!A67</f>
        <v>7.5</v>
      </c>
      <c r="F69" s="633" t="s">
        <v>425</v>
      </c>
      <c r="G69" s="628" t="s">
        <v>79</v>
      </c>
      <c r="H69" s="629"/>
      <c r="I69" s="630"/>
      <c r="J69" s="631"/>
      <c r="K69" s="630"/>
      <c r="L69" s="630"/>
      <c r="M69" s="630"/>
      <c r="N69" s="955"/>
      <c r="O69" s="911">
        <f>'FORMATO PROPUESTA ECONÓMICA'!E67</f>
        <v>0</v>
      </c>
      <c r="P69" s="911">
        <f t="shared" si="3"/>
        <v>0</v>
      </c>
      <c r="Q69" s="755"/>
      <c r="R69" s="616"/>
      <c r="S69" s="755"/>
    </row>
    <row r="70" spans="2:19" hidden="1" x14ac:dyDescent="0.25">
      <c r="B70" s="750"/>
      <c r="C70" s="752" t="e">
        <f>'FORMATO PROPUESTA ECONÓMICA'!#REF!</f>
        <v>#REF!</v>
      </c>
      <c r="D70" s="756"/>
      <c r="E70" s="634">
        <f>'FORMATO PROPUESTA ECONÓMICA'!A68</f>
        <v>7.6</v>
      </c>
      <c r="F70" s="633" t="s">
        <v>427</v>
      </c>
      <c r="G70" s="628" t="s">
        <v>79</v>
      </c>
      <c r="H70" s="629"/>
      <c r="I70" s="630"/>
      <c r="J70" s="631"/>
      <c r="K70" s="630"/>
      <c r="L70" s="630"/>
      <c r="M70" s="630"/>
      <c r="N70" s="955"/>
      <c r="O70" s="911">
        <f>'FORMATO PROPUESTA ECONÓMICA'!E68</f>
        <v>0</v>
      </c>
      <c r="P70" s="911">
        <f t="shared" si="3"/>
        <v>0</v>
      </c>
      <c r="Q70" s="755"/>
      <c r="R70" s="616"/>
      <c r="S70" s="755"/>
    </row>
    <row r="71" spans="2:19" hidden="1" x14ac:dyDescent="0.25">
      <c r="B71" s="750"/>
      <c r="C71" s="752" t="e">
        <f>'FORMATO PROPUESTA ECONÓMICA'!#REF!</f>
        <v>#REF!</v>
      </c>
      <c r="D71" s="756"/>
      <c r="E71" s="634">
        <f>'FORMATO PROPUESTA ECONÓMICA'!A69</f>
        <v>7.7</v>
      </c>
      <c r="F71" s="633" t="s">
        <v>429</v>
      </c>
      <c r="G71" s="628" t="s">
        <v>79</v>
      </c>
      <c r="H71" s="629"/>
      <c r="I71" s="630"/>
      <c r="J71" s="631"/>
      <c r="K71" s="630"/>
      <c r="L71" s="630"/>
      <c r="M71" s="630"/>
      <c r="N71" s="955"/>
      <c r="O71" s="911">
        <f>'FORMATO PROPUESTA ECONÓMICA'!E69</f>
        <v>0</v>
      </c>
      <c r="P71" s="911">
        <f t="shared" si="3"/>
        <v>0</v>
      </c>
      <c r="Q71" s="755"/>
      <c r="R71" s="616"/>
      <c r="S71" s="755"/>
    </row>
    <row r="72" spans="2:19" x14ac:dyDescent="0.25">
      <c r="B72" s="750"/>
      <c r="C72" s="752" t="e">
        <f>'FORMATO PROPUESTA ECONÓMICA'!#REF!</f>
        <v>#REF!</v>
      </c>
      <c r="D72" s="756"/>
      <c r="E72" s="634">
        <f>'FORMATO PROPUESTA ECONÓMICA'!A70</f>
        <v>7.8</v>
      </c>
      <c r="F72" s="633" t="s">
        <v>342</v>
      </c>
      <c r="G72" s="628" t="s">
        <v>79</v>
      </c>
      <c r="H72" s="629"/>
      <c r="I72" s="630"/>
      <c r="J72" s="631"/>
      <c r="K72" s="630"/>
      <c r="L72" s="630"/>
      <c r="M72" s="630"/>
      <c r="N72" s="955">
        <f>N67</f>
        <v>1963</v>
      </c>
      <c r="O72" s="911">
        <f>'FORMATO PROPUESTA ECONÓMICA'!E70</f>
        <v>0</v>
      </c>
      <c r="P72" s="911">
        <f t="shared" si="3"/>
        <v>0</v>
      </c>
      <c r="Q72" s="755"/>
      <c r="R72" s="616"/>
      <c r="S72" s="755"/>
    </row>
    <row r="73" spans="2:19" hidden="1" x14ac:dyDescent="0.25">
      <c r="B73" s="750" t="str">
        <f>+'[3]1. Colector Principal'!C43</f>
        <v>Corte, rotura y retiro de pavimento:</v>
      </c>
      <c r="C73" s="752" t="e">
        <f>'FORMATO PROPUESTA ECONÓMICA'!#REF!</f>
        <v>#REF!</v>
      </c>
      <c r="D73" s="756"/>
      <c r="E73" s="634">
        <f>'FORMATO PROPUESTA ECONÓMICA'!A71</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955"/>
      <c r="O73" s="911">
        <f>'FORMATO PROPUESTA ECONÓMICA'!E71</f>
        <v>0</v>
      </c>
      <c r="P73" s="911">
        <f t="shared" si="3"/>
        <v>0</v>
      </c>
      <c r="Q73" s="755"/>
      <c r="R73" s="616"/>
      <c r="S73" s="755"/>
    </row>
    <row r="74" spans="2:19" x14ac:dyDescent="0.25">
      <c r="B74" s="750" t="str">
        <f>+'[3]1. Colector Principal'!C44</f>
        <v>Corte, rotura y retiro de pavimento rigido</v>
      </c>
      <c r="C74" s="752" t="e">
        <f>'FORMATO PROPUESTA ECONÓMICA'!#REF!</f>
        <v>#REF!</v>
      </c>
      <c r="D74" s="756"/>
      <c r="E74" s="620">
        <f>'FORMATO PROPUESTA ECONÓMICA'!A72</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955">
        <v>250</v>
      </c>
      <c r="O74" s="911">
        <f>'FORMATO PROPUESTA ECONÓMICA'!E72</f>
        <v>0</v>
      </c>
      <c r="P74" s="911">
        <f t="shared" si="3"/>
        <v>0</v>
      </c>
      <c r="Q74" s="755"/>
      <c r="R74" s="616"/>
      <c r="S74" s="755"/>
    </row>
    <row r="75" spans="2:19" x14ac:dyDescent="0.25">
      <c r="B75" s="750" t="str">
        <f>+'[3]1. Colector Principal'!C45</f>
        <v xml:space="preserve">Corte, rotura y retiro de pavimento flexible </v>
      </c>
      <c r="C75" s="752" t="e">
        <f>'FORMATO PROPUESTA ECONÓMICA'!#REF!</f>
        <v>#REF!</v>
      </c>
      <c r="D75" s="756"/>
      <c r="E75" s="620">
        <f>'FORMATO PROPUESTA ECONÓMICA'!A73</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955">
        <f>N76</f>
        <v>1068.6500000000001</v>
      </c>
      <c r="O75" s="911">
        <f>'FORMATO PROPUESTA ECONÓMICA'!E73</f>
        <v>0</v>
      </c>
      <c r="P75" s="911">
        <f t="shared" si="3"/>
        <v>0</v>
      </c>
      <c r="Q75" s="755"/>
      <c r="R75" s="616"/>
      <c r="S75" s="755"/>
    </row>
    <row r="76" spans="2:19" ht="90" x14ac:dyDescent="0.25">
      <c r="C76" s="752" t="e">
        <f>'FORMATO PROPUESTA ECONÓMICA'!#REF!</f>
        <v>#REF!</v>
      </c>
      <c r="D76" s="756"/>
      <c r="E76" s="620">
        <f>'FORMATO PROPUESTA ECONÓMICA'!A74</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949">
        <f>N67*0.55-11</f>
        <v>1068.6500000000001</v>
      </c>
      <c r="O76" s="911">
        <f>'FORMATO PROPUESTA ECONÓMICA'!E74</f>
        <v>0</v>
      </c>
      <c r="P76" s="911">
        <f t="shared" si="3"/>
        <v>0</v>
      </c>
      <c r="Q76" s="755"/>
      <c r="R76" s="616"/>
      <c r="S76" s="755"/>
    </row>
    <row r="77" spans="2:19" x14ac:dyDescent="0.25">
      <c r="B77" s="750" t="str">
        <f>+'[3]1. Colector Principal'!C47</f>
        <v>Pavimento rigido</v>
      </c>
      <c r="C77" s="752" t="e">
        <f>'FORMATO PROPUESTA ECONÓMICA'!#REF!</f>
        <v>#REF!</v>
      </c>
      <c r="D77" s="756"/>
      <c r="E77" s="620">
        <f>'FORMATO PROPUESTA ECONÓMICA'!A75</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955">
        <f>N76</f>
        <v>1068.6500000000001</v>
      </c>
      <c r="O77" s="911">
        <f>'FORMATO PROPUESTA ECONÓMICA'!E75</f>
        <v>0</v>
      </c>
      <c r="P77" s="911">
        <f t="shared" si="3"/>
        <v>0</v>
      </c>
      <c r="Q77" s="755"/>
      <c r="R77" s="616"/>
      <c r="S77" s="755"/>
    </row>
    <row r="78" spans="2:19" x14ac:dyDescent="0.25">
      <c r="B78" s="750" t="str">
        <f>+'[3]1. Colector Principal'!C48</f>
        <v xml:space="preserve">Pavimento flexible </v>
      </c>
      <c r="C78" s="752" t="e">
        <f>'FORMATO PROPUESTA ECONÓMICA'!#REF!</f>
        <v>#REF!</v>
      </c>
      <c r="D78" s="756"/>
      <c r="E78" s="620">
        <f>'FORMATO PROPUESTA ECONÓMICA'!A76</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946">
        <f>N67</f>
        <v>1963</v>
      </c>
      <c r="O78" s="911">
        <f>'FORMATO PROPUESTA ECONÓMICA'!E76</f>
        <v>0</v>
      </c>
      <c r="P78" s="911">
        <f t="shared" si="3"/>
        <v>0</v>
      </c>
      <c r="Q78" s="755"/>
      <c r="R78" s="616"/>
      <c r="S78" s="755"/>
    </row>
    <row r="79" spans="2:19" x14ac:dyDescent="0.25">
      <c r="B79" s="750" t="str">
        <f>+'[3]5.Domiciliarias Colector La Yuq'!C16</f>
        <v>Reparación de andén en concreto</v>
      </c>
      <c r="C79" s="752" t="e">
        <f>'FORMATO PROPUESTA ECONÓMICA'!#REF!</f>
        <v>#REF!</v>
      </c>
      <c r="D79" s="756"/>
      <c r="E79" s="620">
        <f>'FORMATO PROPUESTA ECONÓMICA'!A77</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946">
        <f>+N67</f>
        <v>1963</v>
      </c>
      <c r="O79" s="911">
        <f>'FORMATO PROPUESTA ECONÓMICA'!E77</f>
        <v>0</v>
      </c>
      <c r="P79" s="911">
        <f t="shared" si="3"/>
        <v>0</v>
      </c>
      <c r="Q79" s="755"/>
      <c r="R79" s="616"/>
      <c r="S79" s="755"/>
    </row>
    <row r="80" spans="2:19" x14ac:dyDescent="0.25">
      <c r="B80" s="750"/>
      <c r="C80" s="841"/>
      <c r="D80" s="758"/>
      <c r="E80" s="732">
        <f>'FORMATO PROPUESTA ECONÓMICA'!A78</f>
        <v>8</v>
      </c>
      <c r="F80" s="770" t="s">
        <v>349</v>
      </c>
      <c r="G80" s="44"/>
      <c r="H80" s="39"/>
      <c r="I80" s="40"/>
      <c r="J80" s="41"/>
      <c r="K80" s="40"/>
      <c r="L80" s="40"/>
      <c r="M80" s="40"/>
      <c r="N80" s="954"/>
      <c r="O80" s="912"/>
      <c r="P80" s="912"/>
      <c r="Q80" s="755"/>
      <c r="R80" s="616"/>
      <c r="S80" s="755"/>
    </row>
    <row r="81" spans="2:19" x14ac:dyDescent="0.25">
      <c r="B81" s="750"/>
      <c r="C81" s="752" t="e">
        <f>'FORMATO PROPUESTA ECONÓMICA'!#REF!</f>
        <v>#REF!</v>
      </c>
      <c r="D81" s="756"/>
      <c r="E81" s="634">
        <f>'FORMATO PROPUESTA ECONÓMICA'!A79</f>
        <v>8.1</v>
      </c>
      <c r="F81" s="633" t="s">
        <v>83</v>
      </c>
      <c r="G81" s="628" t="s">
        <v>79</v>
      </c>
      <c r="H81" s="629"/>
      <c r="I81" s="630"/>
      <c r="J81" s="631"/>
      <c r="K81" s="630"/>
      <c r="L81" s="630"/>
      <c r="M81" s="630"/>
      <c r="N81" s="946">
        <v>3</v>
      </c>
      <c r="O81" s="911">
        <f>'FORMATO PROPUESTA ECONÓMICA'!E79</f>
        <v>0</v>
      </c>
      <c r="P81" s="911">
        <f t="shared" ref="P81:P101" si="6">IF(ISERROR(+N81*O81),"",+N81*O81)</f>
        <v>0</v>
      </c>
      <c r="Q81" s="755"/>
      <c r="R81" s="616"/>
      <c r="S81" s="755"/>
    </row>
    <row r="82" spans="2:19" hidden="1" x14ac:dyDescent="0.25">
      <c r="B82" s="750"/>
      <c r="C82" s="752" t="e">
        <f>'FORMATO PROPUESTA ECONÓMICA'!#REF!</f>
        <v>#REF!</v>
      </c>
      <c r="D82" s="756"/>
      <c r="E82" s="634">
        <f>'FORMATO PROPUESTA ECONÓMICA'!A80</f>
        <v>8.1999999999999993</v>
      </c>
      <c r="F82" s="633" t="s">
        <v>84</v>
      </c>
      <c r="G82" s="628" t="s">
        <v>79</v>
      </c>
      <c r="H82" s="629"/>
      <c r="I82" s="630"/>
      <c r="J82" s="631"/>
      <c r="K82" s="630"/>
      <c r="L82" s="630"/>
      <c r="M82" s="630"/>
      <c r="N82" s="946"/>
      <c r="O82" s="911">
        <f>'FORMATO PROPUESTA ECONÓMICA'!E80</f>
        <v>0</v>
      </c>
      <c r="P82" s="911">
        <f t="shared" si="6"/>
        <v>0</v>
      </c>
      <c r="Q82" s="755"/>
      <c r="R82" s="616"/>
      <c r="S82" s="755"/>
    </row>
    <row r="83" spans="2:19" hidden="1" x14ac:dyDescent="0.25">
      <c r="B83" s="750"/>
      <c r="C83" s="752" t="e">
        <f>'FORMATO PROPUESTA ECONÓMICA'!#REF!</f>
        <v>#REF!</v>
      </c>
      <c r="D83" s="756"/>
      <c r="E83" s="634">
        <f>'FORMATO PROPUESTA ECONÓMICA'!A81</f>
        <v>8.3000000000000007</v>
      </c>
      <c r="F83" s="633" t="s">
        <v>85</v>
      </c>
      <c r="G83" s="628" t="s">
        <v>79</v>
      </c>
      <c r="H83" s="629"/>
      <c r="I83" s="630"/>
      <c r="J83" s="631"/>
      <c r="K83" s="630"/>
      <c r="L83" s="630"/>
      <c r="M83" s="630"/>
      <c r="N83" s="946"/>
      <c r="O83" s="911">
        <f>'FORMATO PROPUESTA ECONÓMICA'!E81</f>
        <v>0</v>
      </c>
      <c r="P83" s="911">
        <f t="shared" si="6"/>
        <v>0</v>
      </c>
      <c r="Q83" s="755"/>
      <c r="R83" s="616"/>
      <c r="S83" s="755"/>
    </row>
    <row r="84" spans="2:19" hidden="1" x14ac:dyDescent="0.25">
      <c r="B84" s="750"/>
      <c r="C84" s="752" t="e">
        <f>'FORMATO PROPUESTA ECONÓMICA'!#REF!</f>
        <v>#REF!</v>
      </c>
      <c r="D84" s="756"/>
      <c r="E84" s="634">
        <f>'FORMATO PROPUESTA ECONÓMICA'!A82</f>
        <v>8.4</v>
      </c>
      <c r="F84" s="633" t="s">
        <v>86</v>
      </c>
      <c r="G84" s="628" t="s">
        <v>79</v>
      </c>
      <c r="H84" s="629"/>
      <c r="I84" s="630"/>
      <c r="J84" s="631"/>
      <c r="K84" s="630"/>
      <c r="L84" s="630"/>
      <c r="M84" s="630"/>
      <c r="N84" s="946"/>
      <c r="O84" s="911">
        <f>'FORMATO PROPUESTA ECONÓMICA'!E82</f>
        <v>0</v>
      </c>
      <c r="P84" s="911">
        <f t="shared" si="6"/>
        <v>0</v>
      </c>
      <c r="Q84" s="755"/>
      <c r="R84" s="616"/>
      <c r="S84" s="755"/>
    </row>
    <row r="85" spans="2:19" ht="30" x14ac:dyDescent="0.25">
      <c r="B85" s="750"/>
      <c r="C85" s="752" t="e">
        <f>'FORMATO PROPUESTA ECONÓMICA'!#REF!</f>
        <v>#REF!</v>
      </c>
      <c r="D85" s="756"/>
      <c r="E85" s="634">
        <f>'FORMATO PROPUESTA ECONÓMICA'!A83</f>
        <v>8.5</v>
      </c>
      <c r="F85" s="633" t="s">
        <v>519</v>
      </c>
      <c r="G85" s="628" t="s">
        <v>79</v>
      </c>
      <c r="H85" s="629"/>
      <c r="I85" s="630"/>
      <c r="J85" s="631"/>
      <c r="K85" s="630"/>
      <c r="L85" s="630"/>
      <c r="M85" s="630"/>
      <c r="N85" s="955">
        <f>N76</f>
        <v>1068.6500000000001</v>
      </c>
      <c r="O85" s="911">
        <f>'FORMATO PROPUESTA ECONÓMICA'!E83</f>
        <v>0</v>
      </c>
      <c r="P85" s="911">
        <f t="shared" si="6"/>
        <v>0</v>
      </c>
      <c r="Q85" s="755"/>
      <c r="R85" s="616"/>
      <c r="S85" s="755"/>
    </row>
    <row r="86" spans="2:19" x14ac:dyDescent="0.25">
      <c r="B86" s="750"/>
      <c r="C86" s="752" t="e">
        <f>'FORMATO PROPUESTA ECONÓMICA'!#REF!</f>
        <v>#REF!</v>
      </c>
      <c r="D86" s="756"/>
      <c r="E86" s="634">
        <f>'FORMATO PROPUESTA ECONÓMICA'!A84</f>
        <v>8.6</v>
      </c>
      <c r="F86" s="633" t="s">
        <v>87</v>
      </c>
      <c r="G86" s="628" t="s">
        <v>79</v>
      </c>
      <c r="H86" s="629"/>
      <c r="I86" s="630"/>
      <c r="J86" s="631"/>
      <c r="K86" s="630"/>
      <c r="L86" s="630"/>
      <c r="M86" s="630"/>
      <c r="N86" s="946">
        <v>480</v>
      </c>
      <c r="O86" s="911">
        <f>'FORMATO PROPUESTA ECONÓMICA'!E84</f>
        <v>0</v>
      </c>
      <c r="P86" s="911">
        <f t="shared" si="6"/>
        <v>0</v>
      </c>
      <c r="Q86" s="755"/>
      <c r="R86" s="616"/>
      <c r="S86" s="755"/>
    </row>
    <row r="87" spans="2:19" x14ac:dyDescent="0.25">
      <c r="B87" s="750"/>
      <c r="C87" s="752" t="e">
        <f>'FORMATO PROPUESTA ECONÓMICA'!#REF!</f>
        <v>#REF!</v>
      </c>
      <c r="D87" s="756"/>
      <c r="E87" s="634">
        <f>'FORMATO PROPUESTA ECONÓMICA'!A85</f>
        <v>8.6999999999999993</v>
      </c>
      <c r="F87" s="633" t="s">
        <v>88</v>
      </c>
      <c r="G87" s="628" t="s">
        <v>79</v>
      </c>
      <c r="H87" s="629"/>
      <c r="I87" s="630"/>
      <c r="J87" s="631"/>
      <c r="K87" s="630"/>
      <c r="L87" s="630"/>
      <c r="M87" s="630"/>
      <c r="N87" s="947">
        <f>2*N92</f>
        <v>26</v>
      </c>
      <c r="O87" s="911">
        <f>'FORMATO PROPUESTA ECONÓMICA'!E85</f>
        <v>0</v>
      </c>
      <c r="P87" s="911">
        <f t="shared" si="6"/>
        <v>0</v>
      </c>
      <c r="Q87" s="755"/>
      <c r="R87" s="616"/>
      <c r="S87" s="755"/>
    </row>
    <row r="88" spans="2:19" x14ac:dyDescent="0.25">
      <c r="B88" s="750"/>
      <c r="C88" s="752" t="e">
        <f>'FORMATO PROPUESTA ECONÓMICA'!#REF!</f>
        <v>#REF!</v>
      </c>
      <c r="D88" s="756"/>
      <c r="E88" s="634">
        <f>'FORMATO PROPUESTA ECONÓMICA'!A86</f>
        <v>8.8000000000000007</v>
      </c>
      <c r="F88" s="633" t="s">
        <v>89</v>
      </c>
      <c r="G88" s="628" t="s">
        <v>79</v>
      </c>
      <c r="H88" s="629"/>
      <c r="I88" s="630"/>
      <c r="J88" s="631"/>
      <c r="K88" s="630"/>
      <c r="L88" s="630"/>
      <c r="M88" s="630"/>
      <c r="N88" s="947">
        <f>2*N93</f>
        <v>8</v>
      </c>
      <c r="O88" s="911">
        <f>'FORMATO PROPUESTA ECONÓMICA'!E86</f>
        <v>0</v>
      </c>
      <c r="P88" s="911">
        <f t="shared" si="6"/>
        <v>0</v>
      </c>
      <c r="Q88" s="755"/>
      <c r="R88" s="616"/>
      <c r="S88" s="755"/>
    </row>
    <row r="89" spans="2:19" hidden="1" x14ac:dyDescent="0.25">
      <c r="B89" s="750"/>
      <c r="C89" s="752" t="e">
        <f>'FORMATO PROPUESTA ECONÓMICA'!#REF!</f>
        <v>#REF!</v>
      </c>
      <c r="D89" s="756"/>
      <c r="E89" s="634">
        <f>'FORMATO PROPUESTA ECONÓMICA'!A87</f>
        <v>8.9</v>
      </c>
      <c r="F89" s="633" t="s">
        <v>90</v>
      </c>
      <c r="G89" s="628" t="s">
        <v>79</v>
      </c>
      <c r="H89" s="629"/>
      <c r="I89" s="630"/>
      <c r="J89" s="631"/>
      <c r="K89" s="630"/>
      <c r="L89" s="630"/>
      <c r="M89" s="630"/>
      <c r="N89" s="947"/>
      <c r="O89" s="911">
        <f>'FORMATO PROPUESTA ECONÓMICA'!E87</f>
        <v>0</v>
      </c>
      <c r="P89" s="911">
        <f t="shared" si="6"/>
        <v>0</v>
      </c>
      <c r="Q89" s="755"/>
      <c r="R89" s="616"/>
      <c r="S89" s="755"/>
    </row>
    <row r="90" spans="2:19" hidden="1" x14ac:dyDescent="0.25">
      <c r="B90" s="750"/>
      <c r="C90" s="752" t="e">
        <f>'FORMATO PROPUESTA ECONÓMICA'!#REF!</f>
        <v>#REF!</v>
      </c>
      <c r="D90" s="756"/>
      <c r="E90" s="634">
        <f>'FORMATO PROPUESTA ECONÓMICA'!A88</f>
        <v>8.1</v>
      </c>
      <c r="F90" s="633" t="s">
        <v>91</v>
      </c>
      <c r="G90" s="628" t="s">
        <v>79</v>
      </c>
      <c r="H90" s="629"/>
      <c r="I90" s="630"/>
      <c r="J90" s="631"/>
      <c r="K90" s="630"/>
      <c r="L90" s="630"/>
      <c r="M90" s="630"/>
      <c r="N90" s="947"/>
      <c r="O90" s="911">
        <f>'FORMATO PROPUESTA ECONÓMICA'!E88</f>
        <v>0</v>
      </c>
      <c r="P90" s="911">
        <f t="shared" si="6"/>
        <v>0</v>
      </c>
      <c r="Q90" s="755"/>
      <c r="R90" s="616"/>
      <c r="S90" s="755"/>
    </row>
    <row r="91" spans="2:19" ht="30" x14ac:dyDescent="0.25">
      <c r="B91" s="750"/>
      <c r="C91" s="752" t="e">
        <f>'FORMATO PROPUESTA ECONÓMICA'!#REF!</f>
        <v>#REF!</v>
      </c>
      <c r="D91" s="756"/>
      <c r="E91" s="620">
        <f>'FORMATO PROPUESTA ECONÓMICA'!A89</f>
        <v>8.11</v>
      </c>
      <c r="F91" s="633" t="s">
        <v>92</v>
      </c>
      <c r="G91" s="628" t="s">
        <v>79</v>
      </c>
      <c r="H91" s="629"/>
      <c r="I91" s="630"/>
      <c r="J91" s="631"/>
      <c r="K91" s="630"/>
      <c r="L91" s="630"/>
      <c r="M91" s="630"/>
      <c r="N91" s="947">
        <v>240</v>
      </c>
      <c r="O91" s="911">
        <f>'FORMATO PROPUESTA ECONÓMICA'!E89</f>
        <v>0</v>
      </c>
      <c r="P91" s="911">
        <f t="shared" si="6"/>
        <v>0</v>
      </c>
      <c r="Q91" s="755"/>
      <c r="R91" s="616"/>
      <c r="S91" s="755"/>
    </row>
    <row r="92" spans="2:19" ht="30" x14ac:dyDescent="0.25">
      <c r="B92" s="750"/>
      <c r="C92" s="752" t="e">
        <f>'FORMATO PROPUESTA ECONÓMICA'!#REF!</f>
        <v>#REF!</v>
      </c>
      <c r="D92" s="756"/>
      <c r="E92" s="620">
        <f>'FORMATO PROPUESTA ECONÓMICA'!A90</f>
        <v>8.1199999999999992</v>
      </c>
      <c r="F92" s="633" t="s">
        <v>93</v>
      </c>
      <c r="G92" s="628" t="s">
        <v>79</v>
      </c>
      <c r="H92" s="629"/>
      <c r="I92" s="630"/>
      <c r="J92" s="631"/>
      <c r="K92" s="630"/>
      <c r="L92" s="630"/>
      <c r="M92" s="630"/>
      <c r="N92" s="947">
        <v>13</v>
      </c>
      <c r="O92" s="911">
        <f>'FORMATO PROPUESTA ECONÓMICA'!E90</f>
        <v>0</v>
      </c>
      <c r="P92" s="911">
        <f t="shared" si="6"/>
        <v>0</v>
      </c>
      <c r="Q92" s="755"/>
      <c r="R92" s="616"/>
      <c r="S92" s="755"/>
    </row>
    <row r="93" spans="2:19" ht="30" x14ac:dyDescent="0.25">
      <c r="B93" s="750"/>
      <c r="C93" s="752" t="e">
        <f>'FORMATO PROPUESTA ECONÓMICA'!#REF!</f>
        <v>#REF!</v>
      </c>
      <c r="D93" s="756"/>
      <c r="E93" s="620">
        <f>'FORMATO PROPUESTA ECONÓMICA'!A91</f>
        <v>8.1300000000000008</v>
      </c>
      <c r="F93" s="633" t="s">
        <v>94</v>
      </c>
      <c r="G93" s="628" t="s">
        <v>79</v>
      </c>
      <c r="H93" s="629"/>
      <c r="I93" s="630"/>
      <c r="J93" s="631"/>
      <c r="K93" s="630"/>
      <c r="L93" s="630"/>
      <c r="M93" s="630"/>
      <c r="N93" s="947">
        <v>4</v>
      </c>
      <c r="O93" s="911">
        <f>'FORMATO PROPUESTA ECONÓMICA'!E91</f>
        <v>0</v>
      </c>
      <c r="P93" s="911">
        <f t="shared" si="6"/>
        <v>0</v>
      </c>
      <c r="Q93" s="755"/>
      <c r="R93" s="616"/>
      <c r="S93" s="755"/>
    </row>
    <row r="94" spans="2:19" ht="30" hidden="1" x14ac:dyDescent="0.25">
      <c r="B94" s="750"/>
      <c r="C94" s="752" t="e">
        <f>'FORMATO PROPUESTA ECONÓMICA'!#REF!</f>
        <v>#REF!</v>
      </c>
      <c r="D94" s="756"/>
      <c r="E94" s="620">
        <f>'FORMATO PROPUESTA ECONÓMICA'!A92</f>
        <v>8.14</v>
      </c>
      <c r="F94" s="633" t="s">
        <v>95</v>
      </c>
      <c r="G94" s="628" t="s">
        <v>79</v>
      </c>
      <c r="H94" s="629"/>
      <c r="I94" s="630"/>
      <c r="J94" s="631"/>
      <c r="K94" s="630"/>
      <c r="L94" s="630"/>
      <c r="M94" s="630"/>
      <c r="N94" s="947"/>
      <c r="O94" s="911">
        <f>'FORMATO PROPUESTA ECONÓMICA'!E92</f>
        <v>0</v>
      </c>
      <c r="P94" s="911">
        <f t="shared" si="6"/>
        <v>0</v>
      </c>
      <c r="Q94" s="755"/>
      <c r="R94" s="616"/>
      <c r="S94" s="755"/>
    </row>
    <row r="95" spans="2:19" ht="30" hidden="1" x14ac:dyDescent="0.25">
      <c r="B95" s="750"/>
      <c r="C95" s="752" t="e">
        <f>'FORMATO PROPUESTA ECONÓMICA'!#REF!</f>
        <v>#REF!</v>
      </c>
      <c r="D95" s="756"/>
      <c r="E95" s="620">
        <f>'FORMATO PROPUESTA ECONÓMICA'!A93</f>
        <v>8.15</v>
      </c>
      <c r="F95" s="633" t="s">
        <v>96</v>
      </c>
      <c r="G95" s="628" t="s">
        <v>79</v>
      </c>
      <c r="H95" s="629"/>
      <c r="I95" s="630"/>
      <c r="J95" s="631"/>
      <c r="K95" s="630"/>
      <c r="L95" s="630"/>
      <c r="M95" s="630"/>
      <c r="N95" s="947"/>
      <c r="O95" s="911">
        <f>'FORMATO PROPUESTA ECONÓMICA'!E93</f>
        <v>0</v>
      </c>
      <c r="P95" s="911">
        <f t="shared" si="6"/>
        <v>0</v>
      </c>
      <c r="Q95" s="755"/>
      <c r="R95" s="616"/>
      <c r="S95" s="755"/>
    </row>
    <row r="96" spans="2:19" ht="39.75" customHeight="1" x14ac:dyDescent="0.25">
      <c r="B96" s="750"/>
      <c r="C96" s="752" t="e">
        <f>'FORMATO PROPUESTA ECONÓMICA'!#REF!</f>
        <v>#REF!</v>
      </c>
      <c r="D96" s="756"/>
      <c r="E96" s="620">
        <f>'FORMATO PROPUESTA ECONÓMICA'!A94</f>
        <v>8.16</v>
      </c>
      <c r="F96" s="633" t="s">
        <v>463</v>
      </c>
      <c r="G96" s="628" t="s">
        <v>79</v>
      </c>
      <c r="H96" s="629"/>
      <c r="I96" s="630"/>
      <c r="J96" s="631"/>
      <c r="K96" s="630"/>
      <c r="L96" s="630"/>
      <c r="M96" s="630"/>
      <c r="N96" s="947">
        <v>11</v>
      </c>
      <c r="O96" s="911">
        <f>'FORMATO PROPUESTA ECONÓMICA'!E94</f>
        <v>0</v>
      </c>
      <c r="P96" s="911">
        <f t="shared" si="6"/>
        <v>0</v>
      </c>
      <c r="Q96" s="755"/>
      <c r="R96" s="616"/>
      <c r="S96" s="755"/>
    </row>
    <row r="97" spans="2:19" ht="60" x14ac:dyDescent="0.25">
      <c r="B97" s="750"/>
      <c r="C97" s="841"/>
      <c r="D97" s="758"/>
      <c r="E97" s="742">
        <f>'FORMATO PROPUESTA ECONÓMICA'!A95</f>
        <v>9</v>
      </c>
      <c r="F97" s="43" t="s">
        <v>447</v>
      </c>
      <c r="G97" s="44"/>
      <c r="H97" s="39"/>
      <c r="I97" s="40"/>
      <c r="J97" s="41"/>
      <c r="K97" s="40"/>
      <c r="L97" s="40"/>
      <c r="M97" s="40"/>
      <c r="N97" s="956"/>
      <c r="O97" s="912"/>
      <c r="P97" s="912"/>
      <c r="Q97" s="755"/>
      <c r="R97" s="616"/>
      <c r="S97" s="755"/>
    </row>
    <row r="98" spans="2:19" hidden="1" x14ac:dyDescent="0.25">
      <c r="B98" s="750"/>
      <c r="C98" s="752"/>
      <c r="D98" s="756"/>
      <c r="E98" s="634">
        <f>'FORMATO PROPUESTA ECONÓMICA'!A96</f>
        <v>9.1</v>
      </c>
      <c r="F98" s="633" t="s">
        <v>450</v>
      </c>
      <c r="G98" s="628" t="s">
        <v>79</v>
      </c>
      <c r="H98" s="629"/>
      <c r="I98" s="630"/>
      <c r="J98" s="631"/>
      <c r="K98" s="630"/>
      <c r="L98" s="630"/>
      <c r="M98" s="630"/>
      <c r="N98" s="947"/>
      <c r="O98" s="911">
        <f>'FORMATO PROPUESTA ECONÓMICA'!E96</f>
        <v>0</v>
      </c>
      <c r="P98" s="911">
        <f t="shared" si="6"/>
        <v>0</v>
      </c>
      <c r="Q98" s="755"/>
      <c r="R98" s="616"/>
      <c r="S98" s="755"/>
    </row>
    <row r="99" spans="2:19" hidden="1" x14ac:dyDescent="0.25">
      <c r="B99" s="750"/>
      <c r="C99" s="752"/>
      <c r="D99" s="756"/>
      <c r="E99" s="634" t="e">
        <f>'FORMATO PROPUESTA ECONÓMICA'!#REF!</f>
        <v>#REF!</v>
      </c>
      <c r="F99" s="633" t="s">
        <v>451</v>
      </c>
      <c r="G99" s="628" t="s">
        <v>79</v>
      </c>
      <c r="H99" s="629"/>
      <c r="I99" s="630"/>
      <c r="J99" s="631"/>
      <c r="K99" s="630"/>
      <c r="L99" s="630"/>
      <c r="M99" s="630"/>
      <c r="N99" s="947"/>
      <c r="O99" s="911" t="e">
        <f>'FORMATO PROPUESTA ECONÓMICA'!#REF!</f>
        <v>#REF!</v>
      </c>
      <c r="P99" s="911" t="str">
        <f t="shared" si="6"/>
        <v/>
      </c>
      <c r="Q99" s="755"/>
      <c r="R99" s="616"/>
      <c r="S99" s="755"/>
    </row>
    <row r="100" spans="2:19" x14ac:dyDescent="0.25">
      <c r="B100" s="750"/>
      <c r="C100" s="841"/>
      <c r="D100" s="758"/>
      <c r="E100" s="732">
        <f>'FORMATO PROPUESTA ECONÓMICA'!A125</f>
        <v>10</v>
      </c>
      <c r="F100" s="770" t="s">
        <v>97</v>
      </c>
      <c r="G100" s="44"/>
      <c r="H100" s="39"/>
      <c r="I100" s="40"/>
      <c r="J100" s="41"/>
      <c r="K100" s="40"/>
      <c r="L100" s="40"/>
      <c r="M100" s="40"/>
      <c r="N100" s="954"/>
      <c r="O100" s="912"/>
      <c r="P100" s="912"/>
      <c r="Q100" s="755"/>
      <c r="R100" s="616"/>
      <c r="S100" s="755"/>
    </row>
    <row r="101" spans="2:19" ht="60" hidden="1" x14ac:dyDescent="0.25">
      <c r="B101" s="750"/>
      <c r="C101" s="842"/>
      <c r="D101" s="775"/>
      <c r="E101" s="620" t="str">
        <f>'FORMATO PROPUESTA ECONÓMICA'!A126</f>
        <v>10.1</v>
      </c>
      <c r="F101" s="905" t="s">
        <v>444</v>
      </c>
      <c r="G101" s="714" t="s">
        <v>79</v>
      </c>
      <c r="H101" s="716"/>
      <c r="I101" s="717"/>
      <c r="J101" s="718"/>
      <c r="K101" s="717"/>
      <c r="L101" s="717"/>
      <c r="M101" s="717"/>
      <c r="N101" s="957"/>
      <c r="O101" s="911">
        <f>'FORMATO PROPUESTA ECONÓMICA'!E126</f>
        <v>0</v>
      </c>
      <c r="P101" s="911">
        <f t="shared" si="6"/>
        <v>0</v>
      </c>
      <c r="Q101" s="755"/>
      <c r="R101" s="616"/>
      <c r="S101" s="755"/>
    </row>
    <row r="102" spans="2:19" ht="60" x14ac:dyDescent="0.25">
      <c r="B102" s="750"/>
      <c r="C102" s="752" t="e">
        <f>'FORMATO PROPUESTA ECONÓMICA'!#REF!</f>
        <v>#REF!</v>
      </c>
      <c r="D102" s="753"/>
      <c r="E102" s="634">
        <f>'FORMATO PROPUESTA ECONÓMICA'!A127</f>
        <v>10.199999999999999</v>
      </c>
      <c r="F102" s="633" t="s">
        <v>444</v>
      </c>
      <c r="G102" s="628" t="s">
        <v>79</v>
      </c>
      <c r="H102" s="629"/>
      <c r="I102" s="630"/>
      <c r="J102" s="631"/>
      <c r="K102" s="630"/>
      <c r="L102" s="630"/>
      <c r="M102" s="630"/>
      <c r="N102" s="950">
        <f>N76</f>
        <v>1068.6500000000001</v>
      </c>
      <c r="O102" s="911">
        <f>'FORMATO PROPUESTA ECONÓMICA'!E127</f>
        <v>0</v>
      </c>
      <c r="P102" s="911">
        <f t="shared" ref="P102:P107" si="7">IF(ISERROR(+N102*O102),"",+N102*O102)</f>
        <v>0</v>
      </c>
      <c r="Q102" s="755"/>
      <c r="R102" s="616"/>
      <c r="S102" s="755"/>
    </row>
    <row r="103" spans="2:19" ht="60" x14ac:dyDescent="0.25">
      <c r="B103" s="750" t="str">
        <f>+'[3]5.Domiciliarias Colector La Yuq'!C18</f>
        <v>Reparación de pavimento</v>
      </c>
      <c r="C103" s="752" t="e">
        <f>'FORMATO PROPUESTA ECONÓMICA'!#REF!</f>
        <v>#REF!</v>
      </c>
      <c r="D103" s="753"/>
      <c r="E103" s="620" t="str">
        <f>'FORMATO PROPUESTA ECONÓMICA'!A128</f>
        <v>10.3</v>
      </c>
      <c r="F103" s="633" t="s">
        <v>98</v>
      </c>
      <c r="G103" s="628" t="s">
        <v>79</v>
      </c>
      <c r="H103" s="629">
        <f>IF(ISERROR(VLOOKUP($D103,[4]Ppto!$A$3:$F$100,4,)),0,VLOOKUP($D103,[4]Ppto!$A$3:$F$100,4,))</f>
        <v>0</v>
      </c>
      <c r="I103" s="630">
        <f>IF(ISERROR(VLOOKUP($D103,[4]Ppto!$A$3:$F$100,5,)),0,VLOOKUP($D103,[4]Ppto!$A$3:$F$100,5,))</f>
        <v>0</v>
      </c>
      <c r="J103" s="631">
        <v>1</v>
      </c>
      <c r="K103" s="630">
        <f t="shared" ref="K103:K110" si="8">+I103-O103</f>
        <v>0</v>
      </c>
      <c r="L103" s="630">
        <f t="shared" si="0"/>
        <v>0</v>
      </c>
      <c r="M103" s="630">
        <f t="shared" ref="M103:M110" si="9">+L103-P103</f>
        <v>0</v>
      </c>
      <c r="N103" s="946">
        <f>N91+N92</f>
        <v>253</v>
      </c>
      <c r="O103" s="911">
        <f>'FORMATO PROPUESTA ECONÓMICA'!E128</f>
        <v>0</v>
      </c>
      <c r="P103" s="911">
        <f t="shared" si="7"/>
        <v>0</v>
      </c>
      <c r="Q103" s="755"/>
      <c r="R103" s="616"/>
      <c r="S103" s="755"/>
    </row>
    <row r="104" spans="2:19" x14ac:dyDescent="0.25">
      <c r="B104" s="777" t="str">
        <f>+'[3]5.Domiciliarias Colector La Yuq'!C19</f>
        <v>Construcción de pavimento</v>
      </c>
      <c r="C104" s="752" t="e">
        <f>'FORMATO PROPUESTA ECONÓMICA'!#REF!</f>
        <v>#REF!</v>
      </c>
      <c r="D104" s="753"/>
      <c r="E104" s="620" t="str">
        <f>'FORMATO PROPUESTA ECONÓMICA'!A129</f>
        <v>10.4</v>
      </c>
      <c r="F104" s="633" t="s">
        <v>99</v>
      </c>
      <c r="G104" s="628" t="s">
        <v>59</v>
      </c>
      <c r="H104" s="629">
        <f>IF(ISERROR(VLOOKUP($D104,[4]Ppto!$A$3:$F$100,4,)),0,VLOOKUP($D104,[4]Ppto!$A$3:$F$100,4,))</f>
        <v>0</v>
      </c>
      <c r="I104" s="630">
        <f>IF(ISERROR(VLOOKUP($D104,[4]Ppto!$A$3:$F$100,5,)),0,VLOOKUP($D104,[4]Ppto!$A$3:$F$100,5,))</f>
        <v>0</v>
      </c>
      <c r="J104" s="631">
        <v>1</v>
      </c>
      <c r="K104" s="630">
        <f t="shared" si="8"/>
        <v>0</v>
      </c>
      <c r="L104" s="630">
        <f t="shared" si="0"/>
        <v>0</v>
      </c>
      <c r="M104" s="630">
        <f t="shared" si="9"/>
        <v>0</v>
      </c>
      <c r="N104" s="947">
        <f>+N35+N37</f>
        <v>17618.016</v>
      </c>
      <c r="O104" s="911">
        <f>'FORMATO PROPUESTA ECONÓMICA'!E129</f>
        <v>0</v>
      </c>
      <c r="P104" s="911">
        <f t="shared" si="7"/>
        <v>0</v>
      </c>
      <c r="Q104" s="755"/>
      <c r="R104" s="616"/>
      <c r="S104" s="755"/>
    </row>
    <row r="105" spans="2:19" x14ac:dyDescent="0.25">
      <c r="B105" s="777" t="str">
        <f>+'[3]5.Domiciliarias Colector La Yuq'!C20</f>
        <v>Construcción de cajas  0.6x0.6x0.8 m</v>
      </c>
      <c r="C105" s="752" t="e">
        <f>'FORMATO PROPUESTA ECONÓMICA'!#REF!</f>
        <v>#REF!</v>
      </c>
      <c r="D105" s="753"/>
      <c r="E105" s="620">
        <f>'FORMATO PROPUESTA ECONÓMICA'!A130</f>
        <v>10.5</v>
      </c>
      <c r="F105" s="633" t="s">
        <v>100</v>
      </c>
      <c r="G105" s="628" t="s">
        <v>15</v>
      </c>
      <c r="H105" s="629">
        <f>IF(ISERROR(VLOOKUP($D105,[4]Ppto!$A$3:$F$100,4,)),0,VLOOKUP($D105,[4]Ppto!$A$3:$F$100,4,))</f>
        <v>0</v>
      </c>
      <c r="I105" s="630">
        <f>IF(ISERROR(VLOOKUP($D105,[4]Ppto!$A$3:$F$100,5,)),0,VLOOKUP($D105,[4]Ppto!$A$3:$F$100,5,))</f>
        <v>0</v>
      </c>
      <c r="J105" s="631">
        <v>1</v>
      </c>
      <c r="K105" s="630">
        <f t="shared" si="8"/>
        <v>0</v>
      </c>
      <c r="L105" s="630">
        <f t="shared" si="0"/>
        <v>0</v>
      </c>
      <c r="M105" s="630">
        <f t="shared" si="9"/>
        <v>0</v>
      </c>
      <c r="N105" s="1059">
        <v>4.6949251647360075</v>
      </c>
      <c r="O105" s="911">
        <f>'FORMATO PROPUESTA ECONÓMICA'!E130</f>
        <v>0</v>
      </c>
      <c r="P105" s="911">
        <f t="shared" si="7"/>
        <v>0</v>
      </c>
      <c r="Q105" s="755"/>
      <c r="R105" s="616"/>
      <c r="S105" s="755"/>
    </row>
    <row r="106" spans="2:19" ht="45" x14ac:dyDescent="0.25">
      <c r="B106" s="777" t="str">
        <f>+'[3]5.Domiciliarias Colector La Yuq'!C21</f>
        <v>De empalme en andén o zona verde, para domiciliarias de alcantarillado.  Incluye acabado de la tapa según andén existente</v>
      </c>
      <c r="C106" s="752" t="e">
        <f>'FORMATO PROPUESTA ECONÓMICA'!#REF!</f>
        <v>#REF!</v>
      </c>
      <c r="D106" s="753"/>
      <c r="E106" s="620">
        <f>'FORMATO PROPUESTA ECONÓMICA'!A131</f>
        <v>10.6</v>
      </c>
      <c r="F106" s="633" t="s">
        <v>101</v>
      </c>
      <c r="G106" s="628" t="s">
        <v>352</v>
      </c>
      <c r="H106" s="629">
        <f>IF(ISERROR(VLOOKUP($D106,[4]Ppto!$A$3:$F$100,4,)),0,VLOOKUP($D106,[4]Ppto!$A$3:$F$100,4,))</f>
        <v>0</v>
      </c>
      <c r="I106" s="630">
        <f>IF(ISERROR(VLOOKUP($D106,[4]Ppto!$A$3:$F$100,5,)),0,VLOOKUP($D106,[4]Ppto!$A$3:$F$100,5,))</f>
        <v>0</v>
      </c>
      <c r="J106" s="631">
        <v>1</v>
      </c>
      <c r="K106" s="630">
        <f t="shared" si="8"/>
        <v>0</v>
      </c>
      <c r="L106" s="630">
        <f t="shared" si="0"/>
        <v>0</v>
      </c>
      <c r="M106" s="630">
        <f t="shared" si="9"/>
        <v>0</v>
      </c>
      <c r="N106" s="1059">
        <v>1139.0067886374502</v>
      </c>
      <c r="O106" s="911">
        <f>'FORMATO PROPUESTA ECONÓMICA'!E131</f>
        <v>0</v>
      </c>
      <c r="P106" s="911">
        <f t="shared" si="7"/>
        <v>0</v>
      </c>
      <c r="Q106" s="755"/>
      <c r="R106" s="616"/>
      <c r="S106" s="755"/>
    </row>
    <row r="107" spans="2:19" ht="30" hidden="1" x14ac:dyDescent="0.25">
      <c r="B107" s="777"/>
      <c r="C107" s="752"/>
      <c r="D107" s="753"/>
      <c r="E107" s="620">
        <f>'FORMATO PROPUESTA ECONÓMICA'!A132</f>
        <v>10.7</v>
      </c>
      <c r="F107" s="633" t="s">
        <v>465</v>
      </c>
      <c r="G107" s="628" t="s">
        <v>16</v>
      </c>
      <c r="H107" s="629"/>
      <c r="I107" s="630"/>
      <c r="J107" s="631"/>
      <c r="K107" s="630"/>
      <c r="L107" s="630"/>
      <c r="M107" s="630"/>
      <c r="N107" s="946"/>
      <c r="O107" s="911">
        <f>'FORMATO PROPUESTA ECONÓMICA'!E132</f>
        <v>0</v>
      </c>
      <c r="P107" s="911">
        <f t="shared" si="7"/>
        <v>0</v>
      </c>
      <c r="Q107" s="755"/>
      <c r="R107" s="616"/>
      <c r="S107" s="755"/>
    </row>
    <row r="108" spans="2:19" x14ac:dyDescent="0.25">
      <c r="B108" s="750" t="str">
        <f>+'[3]1. Colector Principal'!C51</f>
        <v>Suministro e Intalación de geotextil para la protección del lleno en la zanja</v>
      </c>
      <c r="C108" s="841" t="e">
        <f>'FORMATO PROPUESTA ECONÓMICA'!#REF!</f>
        <v>#REF!</v>
      </c>
      <c r="D108" s="758"/>
      <c r="E108" s="721">
        <f>'FORMATO PROPUESTA ECONÓMICA'!A133</f>
        <v>11</v>
      </c>
      <c r="F108" s="778" t="s">
        <v>102</v>
      </c>
      <c r="G108" s="779"/>
      <c r="H108" s="39">
        <f>IF(ISERROR(VLOOKUP($D108,[4]Ppto!$A$3:$F$100,4,)),0,VLOOKUP($D108,[4]Ppto!$A$3:$F$100,4,))</f>
        <v>0</v>
      </c>
      <c r="I108" s="40">
        <f>IF(ISERROR(VLOOKUP($D108,[4]Ppto!$A$3:$F$100,5,)),0,VLOOKUP($D108,[4]Ppto!$A$3:$F$100,5,))</f>
        <v>0</v>
      </c>
      <c r="J108" s="41">
        <v>1</v>
      </c>
      <c r="K108" s="40">
        <f t="shared" si="8"/>
        <v>0</v>
      </c>
      <c r="L108" s="40">
        <f t="shared" si="0"/>
        <v>0</v>
      </c>
      <c r="M108" s="40">
        <f t="shared" si="9"/>
        <v>0</v>
      </c>
      <c r="N108" s="958"/>
      <c r="O108" s="912"/>
      <c r="P108" s="912"/>
      <c r="Q108" s="755"/>
      <c r="R108" s="616"/>
      <c r="S108" s="755"/>
    </row>
    <row r="109" spans="2:19" ht="30" x14ac:dyDescent="0.25">
      <c r="B109" s="750" t="str">
        <f>+'[3]1. Colector Principal'!C52</f>
        <v>Geotextil No tejido por cada 100m2</v>
      </c>
      <c r="C109" s="752" t="e">
        <f>'FORMATO PROPUESTA ECONÓMICA'!#REF!</f>
        <v>#REF!</v>
      </c>
      <c r="D109" s="756"/>
      <c r="E109" s="634">
        <f>'FORMATO PROPUESTA ECONÓMICA'!A134</f>
        <v>11.1</v>
      </c>
      <c r="F109" s="633" t="s">
        <v>103</v>
      </c>
      <c r="G109" s="628" t="s">
        <v>15</v>
      </c>
      <c r="H109" s="629">
        <f>IF(ISERROR(VLOOKUP($D109,[4]Ppto!$A$3:$F$100,4,)),0,VLOOKUP($D109,[4]Ppto!$A$3:$F$100,4,))</f>
        <v>0</v>
      </c>
      <c r="I109" s="630">
        <f>IF(ISERROR(VLOOKUP($D109,[4]Ppto!$A$3:$F$100,5,)),0,VLOOKUP($D109,[4]Ppto!$A$3:$F$100,5,))</f>
        <v>0</v>
      </c>
      <c r="J109" s="631">
        <v>1.0000020789169788</v>
      </c>
      <c r="K109" s="630">
        <f t="shared" si="8"/>
        <v>0</v>
      </c>
      <c r="L109" s="630">
        <f t="shared" si="0"/>
        <v>0</v>
      </c>
      <c r="M109" s="630">
        <f t="shared" si="9"/>
        <v>0</v>
      </c>
      <c r="N109" s="957">
        <f>70*0.7*0.1</f>
        <v>4.9000000000000004</v>
      </c>
      <c r="O109" s="911">
        <f>'FORMATO PROPUESTA ECONÓMICA'!E134</f>
        <v>0</v>
      </c>
      <c r="P109" s="911">
        <f>IF(ISERROR(+N109*O109),"",+N109*O109)</f>
        <v>0</v>
      </c>
      <c r="Q109" s="755"/>
      <c r="R109" s="616"/>
      <c r="S109" s="755"/>
    </row>
    <row r="110" spans="2:19" ht="30" x14ac:dyDescent="0.25">
      <c r="B110" s="750" t="str">
        <f>+'[3]1. Colector Principal'!C53</f>
        <v>Pilotes de madera Inmunizada Ø=0.15</v>
      </c>
      <c r="C110" s="752" t="e">
        <f>'FORMATO PROPUESTA ECONÓMICA'!#REF!</f>
        <v>#REF!</v>
      </c>
      <c r="D110" s="756"/>
      <c r="E110" s="634">
        <f>'FORMATO PROPUESTA ECONÓMICA'!A135</f>
        <v>11.2</v>
      </c>
      <c r="F110" s="633" t="s">
        <v>104</v>
      </c>
      <c r="G110" s="628" t="s">
        <v>15</v>
      </c>
      <c r="H110" s="629">
        <f>IF(ISERROR(VLOOKUP($D110,[4]Ppto!$A$3:$F$100,4,)),0,VLOOKUP($D110,[4]Ppto!$A$3:$F$100,4,))</f>
        <v>0</v>
      </c>
      <c r="I110" s="630">
        <f>IF(ISERROR(VLOOKUP($D110,[4]Ppto!$A$3:$F$100,5,)),0,VLOOKUP($D110,[4]Ppto!$A$3:$F$100,5,))</f>
        <v>0</v>
      </c>
      <c r="J110" s="631">
        <v>1.0000000000000002</v>
      </c>
      <c r="K110" s="630">
        <f t="shared" si="8"/>
        <v>0</v>
      </c>
      <c r="L110" s="630">
        <f t="shared" si="0"/>
        <v>0</v>
      </c>
      <c r="M110" s="630">
        <f t="shared" si="9"/>
        <v>0</v>
      </c>
      <c r="N110" s="953">
        <f>800*0.6*0.2</f>
        <v>96</v>
      </c>
      <c r="O110" s="911">
        <f>'FORMATO PROPUESTA ECONÓMICA'!E135</f>
        <v>0</v>
      </c>
      <c r="P110" s="911">
        <f>IF(ISERROR(+N110*O110),"",+N110*O110)</f>
        <v>0</v>
      </c>
      <c r="Q110" s="755"/>
      <c r="R110" s="616"/>
      <c r="S110" s="755"/>
    </row>
    <row r="111" spans="2:19" ht="60" x14ac:dyDescent="0.25">
      <c r="B111" s="750"/>
      <c r="C111" s="752" t="e">
        <f>'FORMATO PROPUESTA ECONÓMICA'!#REF!</f>
        <v>#REF!</v>
      </c>
      <c r="D111" s="753"/>
      <c r="E111" s="634">
        <f>'FORMATO PROPUESTA ECONÓMICA'!A136</f>
        <v>11.3</v>
      </c>
      <c r="F111" s="633" t="s">
        <v>105</v>
      </c>
      <c r="G111" s="628" t="s">
        <v>15</v>
      </c>
      <c r="H111" s="629"/>
      <c r="I111" s="630"/>
      <c r="J111" s="631"/>
      <c r="K111" s="630"/>
      <c r="L111" s="630"/>
      <c r="M111" s="630"/>
      <c r="N111" s="946">
        <f>N110</f>
        <v>96</v>
      </c>
      <c r="O111" s="911">
        <f>'FORMATO PROPUESTA ECONÓMICA'!E136</f>
        <v>0</v>
      </c>
      <c r="P111" s="911">
        <f>IF(ISERROR(+N111*O111),"",+N111*O111)</f>
        <v>0</v>
      </c>
      <c r="Q111" s="755"/>
      <c r="R111" s="616"/>
      <c r="S111" s="755"/>
    </row>
    <row r="112" spans="2:19" ht="45" x14ac:dyDescent="0.25">
      <c r="B112" s="750"/>
      <c r="C112" s="752" t="e">
        <f>'FORMATO PROPUESTA ECONÓMICA'!#REF!</f>
        <v>#REF!</v>
      </c>
      <c r="D112" s="753"/>
      <c r="E112" s="634">
        <f>'FORMATO PROPUESTA ECONÓMICA'!A137</f>
        <v>11.4</v>
      </c>
      <c r="F112" s="633" t="s">
        <v>106</v>
      </c>
      <c r="G112" s="628" t="s">
        <v>15</v>
      </c>
      <c r="H112" s="629">
        <f>IF(ISERROR(VLOOKUP($D112,[4]Ppto!$A$3:$F$100,4,)),0,VLOOKUP($D112,[4]Ppto!$A$3:$F$100,4,))</f>
        <v>0</v>
      </c>
      <c r="I112" s="630">
        <f>IF(ISERROR(VLOOKUP($D112,[4]Ppto!$A$3:$F$100,5,)),0,VLOOKUP($D112,[4]Ppto!$A$3:$F$100,5,))</f>
        <v>0</v>
      </c>
      <c r="J112" s="631">
        <v>0.99996823491225251</v>
      </c>
      <c r="K112" s="630">
        <f>+I112-O112</f>
        <v>0</v>
      </c>
      <c r="L112" s="630">
        <f t="shared" ref="L112" si="10">+H112*I112</f>
        <v>0</v>
      </c>
      <c r="M112" s="630">
        <f>+L112-P112</f>
        <v>0</v>
      </c>
      <c r="N112" s="946">
        <f>N109</f>
        <v>4.9000000000000004</v>
      </c>
      <c r="O112" s="911">
        <f>'FORMATO PROPUESTA ECONÓMICA'!E137</f>
        <v>0</v>
      </c>
      <c r="P112" s="911">
        <f>IF(ISERROR(+N112*O112),"",+N112*O112)</f>
        <v>0</v>
      </c>
      <c r="Q112" s="755"/>
      <c r="R112" s="616"/>
      <c r="S112" s="755"/>
    </row>
    <row r="113" spans="2:19" hidden="1" x14ac:dyDescent="0.25">
      <c r="B113" s="750"/>
      <c r="C113" s="841"/>
      <c r="D113" s="758"/>
      <c r="E113" s="732">
        <f>'FORMATO PROPUESTA ECONÓMICA'!A138</f>
        <v>12</v>
      </c>
      <c r="F113" s="45" t="s">
        <v>350</v>
      </c>
      <c r="G113" s="44"/>
      <c r="H113" s="39"/>
      <c r="I113" s="40"/>
      <c r="J113" s="41"/>
      <c r="K113" s="40"/>
      <c r="L113" s="40"/>
      <c r="M113" s="40"/>
      <c r="N113" s="958"/>
      <c r="O113" s="912"/>
      <c r="P113" s="912"/>
      <c r="Q113" s="755"/>
      <c r="R113" s="616"/>
      <c r="S113" s="755"/>
    </row>
    <row r="114" spans="2:19" hidden="1" x14ac:dyDescent="0.25">
      <c r="B114" s="750" t="str">
        <f>+'[3]1. Colector Principal'!C54</f>
        <v>Elaboración y Colocación de Concreto 2500 PSI para anclajes (incluye formaletería y Clavos)</v>
      </c>
      <c r="C114" s="752" t="e">
        <f>'FORMATO PROPUESTA ECONÓMICA'!#REF!</f>
        <v>#REF!</v>
      </c>
      <c r="D114" s="756"/>
      <c r="E114" s="634">
        <f>'FORMATO PROPUESTA ECONÓMICA'!A139</f>
        <v>12.1</v>
      </c>
      <c r="F114" s="627" t="s">
        <v>351</v>
      </c>
      <c r="G114" s="628" t="s">
        <v>79</v>
      </c>
      <c r="H114" s="629">
        <v>118716.25</v>
      </c>
      <c r="I114" s="630"/>
      <c r="J114" s="631"/>
      <c r="K114" s="630"/>
      <c r="L114" s="630"/>
      <c r="M114" s="630"/>
      <c r="N114" s="959">
        <f>N96+N92+N91+N81+N53+N48+N47+N42+N45+N46+N41+N40</f>
        <v>601</v>
      </c>
      <c r="O114" s="911"/>
      <c r="P114" s="911">
        <f>IF(ISERROR(+N114*O114),"",+N114*O114)</f>
        <v>0</v>
      </c>
      <c r="Q114" s="755"/>
      <c r="R114" s="616"/>
      <c r="S114" s="755"/>
    </row>
    <row r="115" spans="2:19" x14ac:dyDescent="0.25">
      <c r="B115" s="750">
        <f>+'[3]1. Colector Principal'!C64</f>
        <v>0</v>
      </c>
      <c r="C115" s="841" t="e">
        <f>'FORMATO PROPUESTA ECONÓMICA'!#REF!</f>
        <v>#REF!</v>
      </c>
      <c r="D115" s="758"/>
      <c r="E115" s="721"/>
      <c r="F115" s="43" t="s">
        <v>18</v>
      </c>
      <c r="G115" s="44"/>
      <c r="H115" s="39">
        <f>IF(ISERROR(VLOOKUP($D115,[4]Ppto!$A$3:$F$100,4,)),0,VLOOKUP($D115,[4]Ppto!$A$3:$F$100,4,))</f>
        <v>0</v>
      </c>
      <c r="I115" s="40">
        <f>IF(ISERROR(VLOOKUP($D115,[4]Ppto!$A$3:$F$100,5,)),0,VLOOKUP($D115,[4]Ppto!$A$3:$F$100,5,))</f>
        <v>0</v>
      </c>
      <c r="J115" s="41">
        <v>1</v>
      </c>
      <c r="K115" s="40">
        <f>+I115-O115</f>
        <v>0</v>
      </c>
      <c r="L115" s="40">
        <f t="shared" ref="L115:L116" si="11">+H115*I115</f>
        <v>0</v>
      </c>
      <c r="M115" s="40">
        <f>+L115-P115</f>
        <v>0</v>
      </c>
      <c r="N115" s="912"/>
      <c r="O115" s="912"/>
      <c r="P115" s="912">
        <f>SUM(P11:P114)</f>
        <v>0</v>
      </c>
      <c r="Q115" s="755"/>
      <c r="R115" s="616"/>
      <c r="S115" s="755"/>
    </row>
    <row r="116" spans="2:19" ht="30" x14ac:dyDescent="0.25">
      <c r="B116" s="750" t="str">
        <f>+'[3]1. Colector Principal'!C65</f>
        <v>Suministro e Instalaciób  de tubería de PE para Acueducto PE 100 PN 6 RDE 26,(incluye nivelación)  en los siguientes diámetros nominales:</v>
      </c>
      <c r="C116" s="841" t="e">
        <f>'FORMATO PROPUESTA ECONÓMICA'!#REF!</f>
        <v>#REF!</v>
      </c>
      <c r="D116" s="758"/>
      <c r="E116" s="732" t="e">
        <f>'FORMATO PROPUESTA ECONÓMICA'!#REF!</f>
        <v>#REF!</v>
      </c>
      <c r="F116" s="43" t="s">
        <v>367</v>
      </c>
      <c r="G116" s="44"/>
      <c r="H116" s="39">
        <f>IF(ISERROR(VLOOKUP($D116,[4]Ppto!$A$3:$F$100,4,)),0,VLOOKUP($D116,[4]Ppto!$A$3:$F$100,4,))</f>
        <v>0</v>
      </c>
      <c r="I116" s="40">
        <f>IF(ISERROR(VLOOKUP($D116,[4]Ppto!$A$3:$F$100,5,)),0,VLOOKUP($D116,[4]Ppto!$A$3:$F$100,5,))</f>
        <v>0</v>
      </c>
      <c r="J116" s="41">
        <v>1</v>
      </c>
      <c r="K116" s="40">
        <f>+I116-O116</f>
        <v>0</v>
      </c>
      <c r="L116" s="40">
        <f t="shared" si="11"/>
        <v>0</v>
      </c>
      <c r="M116" s="40">
        <f>+L116-P116</f>
        <v>0</v>
      </c>
      <c r="N116" s="912"/>
      <c r="O116" s="912"/>
      <c r="P116" s="912"/>
      <c r="Q116" s="755"/>
      <c r="R116" s="616"/>
      <c r="S116" s="755"/>
    </row>
    <row r="117" spans="2:19" x14ac:dyDescent="0.25">
      <c r="B117" s="750"/>
      <c r="C117" s="752" t="e">
        <f>'FORMATO PROPUESTA ECONÓMICA'!#REF!</f>
        <v>#REF!</v>
      </c>
      <c r="D117" s="756"/>
      <c r="E117" s="620" t="e">
        <f>'FORMATO PROPUESTA ECONÓMICA'!#REF!</f>
        <v>#REF!</v>
      </c>
      <c r="F117" s="633" t="s">
        <v>368</v>
      </c>
      <c r="G117" s="628" t="str">
        <f t="shared" ref="G117:N126" si="12">G35</f>
        <v>ml</v>
      </c>
      <c r="H117" s="628">
        <f t="shared" si="12"/>
        <v>0</v>
      </c>
      <c r="I117" s="628">
        <f t="shared" si="12"/>
        <v>0</v>
      </c>
      <c r="J117" s="628">
        <f t="shared" si="12"/>
        <v>1.0000083683818088</v>
      </c>
      <c r="K117" s="628" t="e">
        <f t="shared" si="12"/>
        <v>#REF!</v>
      </c>
      <c r="L117" s="628">
        <f t="shared" si="12"/>
        <v>0</v>
      </c>
      <c r="M117" s="628">
        <f t="shared" si="12"/>
        <v>0</v>
      </c>
      <c r="N117" s="913">
        <f t="shared" si="12"/>
        <v>15002.016</v>
      </c>
      <c r="O117" s="911">
        <v>10208</v>
      </c>
      <c r="P117" s="911">
        <f t="shared" ref="P117:P143" si="13">IF(ISERROR(+N117*O117),"",+N117*O117)</f>
        <v>153140579.32800001</v>
      </c>
      <c r="Q117" s="755"/>
      <c r="S117" s="755"/>
    </row>
    <row r="118" spans="2:19" x14ac:dyDescent="0.25">
      <c r="B118" s="750" t="str">
        <f>+'[3]2.Secundarias B_Obrero'!C52</f>
        <v>Tubería PE Øint. 184.6mm</v>
      </c>
      <c r="C118" s="752" t="e">
        <f>'FORMATO PROPUESTA ECONÓMICA'!#REF!</f>
        <v>#REF!</v>
      </c>
      <c r="D118" s="756"/>
      <c r="E118" s="620" t="e">
        <f>'FORMATO PROPUESTA ECONÓMICA'!#REF!</f>
        <v>#REF!</v>
      </c>
      <c r="F118" s="633" t="s">
        <v>404</v>
      </c>
      <c r="G118" s="628" t="str">
        <f t="shared" si="12"/>
        <v>ml</v>
      </c>
      <c r="H118" s="628">
        <f t="shared" si="12"/>
        <v>0</v>
      </c>
      <c r="I118" s="628">
        <f t="shared" si="12"/>
        <v>0</v>
      </c>
      <c r="J118" s="628">
        <f t="shared" si="12"/>
        <v>0.99995852949508546</v>
      </c>
      <c r="K118" s="628">
        <f t="shared" si="12"/>
        <v>0</v>
      </c>
      <c r="L118" s="628">
        <f t="shared" si="12"/>
        <v>0</v>
      </c>
      <c r="M118" s="628">
        <f t="shared" si="12"/>
        <v>0</v>
      </c>
      <c r="N118" s="913">
        <f t="shared" si="12"/>
        <v>2031.0379999999996</v>
      </c>
      <c r="O118" s="911">
        <v>13708</v>
      </c>
      <c r="P118" s="911">
        <f t="shared" si="13"/>
        <v>27841468.903999995</v>
      </c>
      <c r="Q118" s="755"/>
      <c r="S118" s="755"/>
    </row>
    <row r="119" spans="2:19" x14ac:dyDescent="0.25">
      <c r="B119" s="750" t="str">
        <f>+'[3]1. Colector Principal'!C66</f>
        <v>Tubería PE Øint. 230.8mm</v>
      </c>
      <c r="C119" s="752" t="e">
        <f>'FORMATO PROPUESTA ECONÓMICA'!#REF!</f>
        <v>#REF!</v>
      </c>
      <c r="D119" s="756"/>
      <c r="E119" s="620" t="e">
        <f>'FORMATO PROPUESTA ECONÓMICA'!#REF!</f>
        <v>#REF!</v>
      </c>
      <c r="F119" s="633" t="s">
        <v>405</v>
      </c>
      <c r="G119" s="628" t="str">
        <f t="shared" si="12"/>
        <v>ml</v>
      </c>
      <c r="H119" s="628">
        <f t="shared" si="12"/>
        <v>0</v>
      </c>
      <c r="I119" s="628">
        <f t="shared" si="12"/>
        <v>0</v>
      </c>
      <c r="J119" s="628">
        <f t="shared" si="12"/>
        <v>0</v>
      </c>
      <c r="K119" s="628">
        <f t="shared" si="12"/>
        <v>0</v>
      </c>
      <c r="L119" s="628">
        <f t="shared" si="12"/>
        <v>0</v>
      </c>
      <c r="M119" s="628">
        <f t="shared" si="12"/>
        <v>0</v>
      </c>
      <c r="N119" s="913">
        <f t="shared" si="12"/>
        <v>2616</v>
      </c>
      <c r="O119" s="911">
        <v>20240</v>
      </c>
      <c r="P119" s="911">
        <f t="shared" si="13"/>
        <v>52947840</v>
      </c>
      <c r="Q119" s="755"/>
      <c r="S119" s="755"/>
    </row>
    <row r="120" spans="2:19" hidden="1" x14ac:dyDescent="0.25">
      <c r="B120" s="750" t="str">
        <f>+'[3]1. Colector Principal'!C67</f>
        <v>Tubería PE Øint. 290.8mm</v>
      </c>
      <c r="C120" s="752" t="e">
        <f>'FORMATO PROPUESTA ECONÓMICA'!#REF!</f>
        <v>#REF!</v>
      </c>
      <c r="D120" s="756"/>
      <c r="E120" s="620" t="e">
        <f>'FORMATO PROPUESTA ECONÓMICA'!#REF!</f>
        <v>#REF!</v>
      </c>
      <c r="F120" s="633" t="s">
        <v>406</v>
      </c>
      <c r="G120" s="628" t="str">
        <f t="shared" si="12"/>
        <v>ml</v>
      </c>
      <c r="H120" s="628">
        <f t="shared" si="12"/>
        <v>0</v>
      </c>
      <c r="I120" s="628">
        <f t="shared" si="12"/>
        <v>0</v>
      </c>
      <c r="J120" s="628">
        <f t="shared" si="12"/>
        <v>0</v>
      </c>
      <c r="K120" s="628">
        <f t="shared" si="12"/>
        <v>0</v>
      </c>
      <c r="L120" s="628">
        <f t="shared" si="12"/>
        <v>0</v>
      </c>
      <c r="M120" s="628">
        <f t="shared" si="12"/>
        <v>0</v>
      </c>
      <c r="N120" s="913">
        <f t="shared" si="12"/>
        <v>0</v>
      </c>
      <c r="O120" s="911">
        <v>43240</v>
      </c>
      <c r="P120" s="911">
        <f t="shared" si="13"/>
        <v>0</v>
      </c>
      <c r="Q120" s="755"/>
      <c r="S120" s="755"/>
    </row>
    <row r="121" spans="2:19" hidden="1" x14ac:dyDescent="0.25">
      <c r="B121" s="750"/>
      <c r="C121" s="752" t="e">
        <f>'FORMATO PROPUESTA ECONÓMICA'!#REF!</f>
        <v>#REF!</v>
      </c>
      <c r="D121" s="756"/>
      <c r="E121" s="620" t="e">
        <f>'FORMATO PROPUESTA ECONÓMICA'!#REF!</f>
        <v>#REF!</v>
      </c>
      <c r="F121" s="633" t="s">
        <v>407</v>
      </c>
      <c r="G121" s="628" t="str">
        <f t="shared" si="12"/>
        <v>ml</v>
      </c>
      <c r="H121" s="628">
        <f t="shared" si="12"/>
        <v>0</v>
      </c>
      <c r="I121" s="628">
        <f t="shared" si="12"/>
        <v>0</v>
      </c>
      <c r="J121" s="628">
        <f t="shared" si="12"/>
        <v>1</v>
      </c>
      <c r="K121" s="628">
        <f t="shared" si="12"/>
        <v>0</v>
      </c>
      <c r="L121" s="628">
        <f t="shared" si="12"/>
        <v>0</v>
      </c>
      <c r="M121" s="628">
        <f t="shared" si="12"/>
        <v>0</v>
      </c>
      <c r="N121" s="913">
        <f t="shared" si="12"/>
        <v>0</v>
      </c>
      <c r="O121" s="911">
        <v>97199</v>
      </c>
      <c r="P121" s="911">
        <f t="shared" si="13"/>
        <v>0</v>
      </c>
      <c r="Q121" s="755"/>
      <c r="S121" s="755"/>
    </row>
    <row r="122" spans="2:19" x14ac:dyDescent="0.25">
      <c r="B122" s="750"/>
      <c r="C122" s="752" t="e">
        <f>'FORMATO PROPUESTA ECONÓMICA'!#REF!</f>
        <v>#REF!</v>
      </c>
      <c r="D122" s="756"/>
      <c r="E122" s="620" t="e">
        <f>'FORMATO PROPUESTA ECONÓMICA'!#REF!</f>
        <v>#REF!</v>
      </c>
      <c r="F122" s="633" t="s">
        <v>379</v>
      </c>
      <c r="G122" s="628" t="str">
        <f t="shared" si="12"/>
        <v>und</v>
      </c>
      <c r="H122" s="628">
        <f t="shared" si="12"/>
        <v>0</v>
      </c>
      <c r="I122" s="628">
        <f t="shared" si="12"/>
        <v>0</v>
      </c>
      <c r="J122" s="628">
        <f t="shared" si="12"/>
        <v>0</v>
      </c>
      <c r="K122" s="628">
        <f t="shared" si="12"/>
        <v>0</v>
      </c>
      <c r="L122" s="628">
        <f t="shared" si="12"/>
        <v>0</v>
      </c>
      <c r="M122" s="628">
        <f t="shared" si="12"/>
        <v>0</v>
      </c>
      <c r="N122" s="913">
        <f t="shared" si="12"/>
        <v>60</v>
      </c>
      <c r="O122" s="911">
        <v>39195</v>
      </c>
      <c r="P122" s="911">
        <f t="shared" si="13"/>
        <v>2351700</v>
      </c>
      <c r="Q122" s="755"/>
      <c r="S122" s="755"/>
    </row>
    <row r="123" spans="2:19" x14ac:dyDescent="0.25">
      <c r="B123" s="750"/>
      <c r="C123" s="752" t="e">
        <f>'FORMATO PROPUESTA ECONÓMICA'!#REF!</f>
        <v>#REF!</v>
      </c>
      <c r="D123" s="756"/>
      <c r="E123" s="620" t="e">
        <f>'FORMATO PROPUESTA ECONÓMICA'!#REF!</f>
        <v>#REF!</v>
      </c>
      <c r="F123" s="633" t="s">
        <v>380</v>
      </c>
      <c r="G123" s="628" t="str">
        <f t="shared" si="12"/>
        <v>und</v>
      </c>
      <c r="H123" s="628">
        <f t="shared" si="12"/>
        <v>0</v>
      </c>
      <c r="I123" s="628">
        <f t="shared" si="12"/>
        <v>0</v>
      </c>
      <c r="J123" s="628">
        <f t="shared" si="12"/>
        <v>0</v>
      </c>
      <c r="K123" s="628">
        <f t="shared" si="12"/>
        <v>0</v>
      </c>
      <c r="L123" s="628">
        <f t="shared" si="12"/>
        <v>0</v>
      </c>
      <c r="M123" s="628">
        <f t="shared" si="12"/>
        <v>0</v>
      </c>
      <c r="N123" s="913">
        <f t="shared" si="12"/>
        <v>6</v>
      </c>
      <c r="O123" s="911">
        <v>47749</v>
      </c>
      <c r="P123" s="911">
        <f t="shared" si="13"/>
        <v>286494</v>
      </c>
      <c r="Q123" s="755"/>
      <c r="S123" s="755"/>
    </row>
    <row r="124" spans="2:19" x14ac:dyDescent="0.25">
      <c r="B124" s="750"/>
      <c r="C124" s="752" t="e">
        <f>'FORMATO PROPUESTA ECONÓMICA'!#REF!</f>
        <v>#REF!</v>
      </c>
      <c r="D124" s="756"/>
      <c r="E124" s="620" t="e">
        <f>'FORMATO PROPUESTA ECONÓMICA'!#REF!</f>
        <v>#REF!</v>
      </c>
      <c r="F124" s="633" t="s">
        <v>408</v>
      </c>
      <c r="G124" s="628" t="str">
        <f t="shared" si="12"/>
        <v>und</v>
      </c>
      <c r="H124" s="628">
        <f t="shared" si="12"/>
        <v>0</v>
      </c>
      <c r="I124" s="628">
        <f t="shared" si="12"/>
        <v>0</v>
      </c>
      <c r="J124" s="628">
        <f t="shared" si="12"/>
        <v>0</v>
      </c>
      <c r="K124" s="628">
        <f t="shared" si="12"/>
        <v>0</v>
      </c>
      <c r="L124" s="628">
        <f t="shared" si="12"/>
        <v>0</v>
      </c>
      <c r="M124" s="628">
        <f t="shared" si="12"/>
        <v>0</v>
      </c>
      <c r="N124" s="951">
        <f t="shared" si="12"/>
        <v>2</v>
      </c>
      <c r="O124" s="911">
        <v>64172</v>
      </c>
      <c r="P124" s="911">
        <f t="shared" si="13"/>
        <v>128344</v>
      </c>
      <c r="Q124" s="755"/>
      <c r="S124" s="755"/>
    </row>
    <row r="125" spans="2:19" hidden="1" x14ac:dyDescent="0.25">
      <c r="B125" s="750"/>
      <c r="C125" s="752" t="e">
        <f>'FORMATO PROPUESTA ECONÓMICA'!#REF!</f>
        <v>#REF!</v>
      </c>
      <c r="D125" s="756"/>
      <c r="E125" s="620" t="e">
        <f>'FORMATO PROPUESTA ECONÓMICA'!#REF!</f>
        <v>#REF!</v>
      </c>
      <c r="F125" s="633" t="s">
        <v>409</v>
      </c>
      <c r="G125" s="628" t="str">
        <f t="shared" si="12"/>
        <v>und</v>
      </c>
      <c r="H125" s="628">
        <f t="shared" si="12"/>
        <v>0</v>
      </c>
      <c r="I125" s="628">
        <f t="shared" si="12"/>
        <v>0</v>
      </c>
      <c r="J125" s="628">
        <f t="shared" si="12"/>
        <v>0</v>
      </c>
      <c r="K125" s="628">
        <f t="shared" si="12"/>
        <v>0</v>
      </c>
      <c r="L125" s="628">
        <f t="shared" si="12"/>
        <v>0</v>
      </c>
      <c r="M125" s="628">
        <f t="shared" si="12"/>
        <v>0</v>
      </c>
      <c r="N125" s="913">
        <f t="shared" si="12"/>
        <v>0</v>
      </c>
      <c r="O125" s="911">
        <v>244662</v>
      </c>
      <c r="P125" s="911">
        <f t="shared" si="13"/>
        <v>0</v>
      </c>
      <c r="Q125" s="755"/>
      <c r="S125" s="755"/>
    </row>
    <row r="126" spans="2:19" hidden="1" x14ac:dyDescent="0.25">
      <c r="B126" s="750"/>
      <c r="C126" s="752" t="e">
        <f>'FORMATO PROPUESTA ECONÓMICA'!#REF!</f>
        <v>#REF!</v>
      </c>
      <c r="D126" s="756"/>
      <c r="E126" s="620" t="e">
        <f>'FORMATO PROPUESTA ECONÓMICA'!#REF!</f>
        <v>#REF!</v>
      </c>
      <c r="F126" s="633" t="s">
        <v>410</v>
      </c>
      <c r="G126" s="628" t="str">
        <f t="shared" si="12"/>
        <v>und</v>
      </c>
      <c r="H126" s="628">
        <f t="shared" si="12"/>
        <v>0</v>
      </c>
      <c r="I126" s="628">
        <f t="shared" si="12"/>
        <v>0</v>
      </c>
      <c r="J126" s="628">
        <f t="shared" si="12"/>
        <v>0</v>
      </c>
      <c r="K126" s="628">
        <f t="shared" si="12"/>
        <v>0</v>
      </c>
      <c r="L126" s="628">
        <f t="shared" si="12"/>
        <v>0</v>
      </c>
      <c r="M126" s="628">
        <f t="shared" si="12"/>
        <v>0</v>
      </c>
      <c r="N126" s="913">
        <f t="shared" si="12"/>
        <v>0</v>
      </c>
      <c r="O126" s="911">
        <v>414183</v>
      </c>
      <c r="P126" s="911">
        <f t="shared" si="13"/>
        <v>0</v>
      </c>
      <c r="Q126" s="755"/>
      <c r="S126" s="755"/>
    </row>
    <row r="127" spans="2:19" hidden="1" x14ac:dyDescent="0.25">
      <c r="B127" s="750"/>
      <c r="C127" s="752" t="e">
        <f>'FORMATO PROPUESTA ECONÓMICA'!#REF!</f>
        <v>#REF!</v>
      </c>
      <c r="D127" s="756"/>
      <c r="E127" s="620" t="e">
        <f>'FORMATO PROPUESTA ECONÓMICA'!#REF!</f>
        <v>#REF!</v>
      </c>
      <c r="F127" s="633" t="s">
        <v>411</v>
      </c>
      <c r="G127" s="628" t="str">
        <f t="shared" ref="G127:N128" si="14">G45</f>
        <v>und</v>
      </c>
      <c r="H127" s="628">
        <f t="shared" si="14"/>
        <v>0</v>
      </c>
      <c r="I127" s="628">
        <f t="shared" si="14"/>
        <v>0</v>
      </c>
      <c r="J127" s="628">
        <f t="shared" si="14"/>
        <v>0</v>
      </c>
      <c r="K127" s="628">
        <f t="shared" si="14"/>
        <v>0</v>
      </c>
      <c r="L127" s="628">
        <f t="shared" si="14"/>
        <v>0</v>
      </c>
      <c r="M127" s="628">
        <f t="shared" si="14"/>
        <v>0</v>
      </c>
      <c r="N127" s="913">
        <f t="shared" si="14"/>
        <v>22</v>
      </c>
      <c r="O127" s="911">
        <v>64172</v>
      </c>
      <c r="P127" s="911">
        <f t="shared" si="13"/>
        <v>1411784</v>
      </c>
      <c r="Q127" s="755"/>
      <c r="S127" s="755"/>
    </row>
    <row r="128" spans="2:19" x14ac:dyDescent="0.25">
      <c r="B128" s="750"/>
      <c r="C128" s="752">
        <v>708</v>
      </c>
      <c r="D128" s="756"/>
      <c r="E128" s="620" t="e">
        <f>'FORMATO PROPUESTA ECONÓMICA'!#REF!</f>
        <v>#REF!</v>
      </c>
      <c r="F128" s="633" t="s">
        <v>446</v>
      </c>
      <c r="G128" s="628" t="str">
        <f t="shared" si="14"/>
        <v>und</v>
      </c>
      <c r="H128" s="628"/>
      <c r="I128" s="628"/>
      <c r="J128" s="628"/>
      <c r="K128" s="628"/>
      <c r="L128" s="628"/>
      <c r="M128" s="628"/>
      <c r="N128" s="913">
        <f t="shared" si="14"/>
        <v>12</v>
      </c>
      <c r="O128" s="911">
        <v>64172</v>
      </c>
      <c r="P128" s="911">
        <f t="shared" si="13"/>
        <v>770064</v>
      </c>
      <c r="Q128" s="755"/>
      <c r="S128" s="755"/>
    </row>
    <row r="129" spans="2:19" x14ac:dyDescent="0.25">
      <c r="B129" s="750"/>
      <c r="C129" s="752" t="e">
        <f>'FORMATO PROPUESTA ECONÓMICA'!#REF!</f>
        <v>#REF!</v>
      </c>
      <c r="D129" s="756"/>
      <c r="E129" s="620" t="e">
        <f>'FORMATO PROPUESTA ECONÓMICA'!#REF!</f>
        <v>#REF!</v>
      </c>
      <c r="F129" s="633" t="s">
        <v>412</v>
      </c>
      <c r="G129" s="628" t="str">
        <f t="shared" ref="G129:N129" si="15">G47</f>
        <v>und</v>
      </c>
      <c r="H129" s="628">
        <f t="shared" si="15"/>
        <v>0</v>
      </c>
      <c r="I129" s="628">
        <f t="shared" si="15"/>
        <v>0</v>
      </c>
      <c r="J129" s="628">
        <f t="shared" si="15"/>
        <v>0</v>
      </c>
      <c r="K129" s="628">
        <f t="shared" si="15"/>
        <v>0</v>
      </c>
      <c r="L129" s="628">
        <f t="shared" si="15"/>
        <v>0</v>
      </c>
      <c r="M129" s="628">
        <f t="shared" si="15"/>
        <v>0</v>
      </c>
      <c r="N129" s="913">
        <f t="shared" si="15"/>
        <v>50</v>
      </c>
      <c r="O129" s="911">
        <v>39195</v>
      </c>
      <c r="P129" s="911">
        <f t="shared" si="13"/>
        <v>1959750</v>
      </c>
      <c r="Q129" s="755"/>
      <c r="S129" s="755"/>
    </row>
    <row r="130" spans="2:19" x14ac:dyDescent="0.25">
      <c r="B130" s="750"/>
      <c r="C130" s="752" t="e">
        <f>'FORMATO PROPUESTA ECONÓMICA'!#REF!</f>
        <v>#REF!</v>
      </c>
      <c r="D130" s="756"/>
      <c r="E130" s="620" t="e">
        <f>'FORMATO PROPUESTA ECONÓMICA'!#REF!</f>
        <v>#REF!</v>
      </c>
      <c r="F130" s="633" t="s">
        <v>413</v>
      </c>
      <c r="G130" s="628" t="str">
        <f t="shared" ref="G130:N130" si="16">G48</f>
        <v>und</v>
      </c>
      <c r="H130" s="628">
        <f t="shared" si="16"/>
        <v>0</v>
      </c>
      <c r="I130" s="628">
        <f t="shared" si="16"/>
        <v>0</v>
      </c>
      <c r="J130" s="628">
        <f t="shared" si="16"/>
        <v>0</v>
      </c>
      <c r="K130" s="628">
        <f t="shared" si="16"/>
        <v>0</v>
      </c>
      <c r="L130" s="628">
        <f t="shared" si="16"/>
        <v>0</v>
      </c>
      <c r="M130" s="628">
        <f t="shared" si="16"/>
        <v>0</v>
      </c>
      <c r="N130" s="913">
        <f t="shared" si="16"/>
        <v>180</v>
      </c>
      <c r="O130" s="911">
        <v>35639</v>
      </c>
      <c r="P130" s="911">
        <f t="shared" si="13"/>
        <v>6415020</v>
      </c>
      <c r="Q130" s="755"/>
      <c r="S130" s="755"/>
    </row>
    <row r="131" spans="2:19" hidden="1" x14ac:dyDescent="0.25">
      <c r="B131" s="750"/>
      <c r="C131" s="752" t="e">
        <f>'FORMATO PROPUESTA ECONÓMICA'!#REF!</f>
        <v>#REF!</v>
      </c>
      <c r="D131" s="756"/>
      <c r="E131" s="620" t="e">
        <f>'FORMATO PROPUESTA ECONÓMICA'!#REF!</f>
        <v>#REF!</v>
      </c>
      <c r="F131" s="633" t="s">
        <v>414</v>
      </c>
      <c r="G131" s="628" t="str">
        <f t="shared" ref="G131:N131" si="17">G49</f>
        <v>und</v>
      </c>
      <c r="H131" s="628">
        <f t="shared" si="17"/>
        <v>0</v>
      </c>
      <c r="I131" s="628">
        <f t="shared" si="17"/>
        <v>0</v>
      </c>
      <c r="J131" s="628">
        <f t="shared" si="17"/>
        <v>0</v>
      </c>
      <c r="K131" s="628">
        <f t="shared" si="17"/>
        <v>0</v>
      </c>
      <c r="L131" s="628">
        <f t="shared" si="17"/>
        <v>0</v>
      </c>
      <c r="M131" s="628">
        <f t="shared" si="17"/>
        <v>0</v>
      </c>
      <c r="N131" s="913">
        <f t="shared" si="17"/>
        <v>0</v>
      </c>
      <c r="O131" s="911">
        <v>38236</v>
      </c>
      <c r="P131" s="911">
        <f t="shared" si="13"/>
        <v>0</v>
      </c>
      <c r="Q131" s="755"/>
      <c r="S131" s="755"/>
    </row>
    <row r="132" spans="2:19" x14ac:dyDescent="0.25">
      <c r="B132" s="750"/>
      <c r="C132" s="752" t="e">
        <f>'FORMATO PROPUESTA ECONÓMICA'!#REF!</f>
        <v>#REF!</v>
      </c>
      <c r="D132" s="756"/>
      <c r="E132" s="620" t="e">
        <f>'FORMATO PROPUESTA ECONÓMICA'!#REF!</f>
        <v>#REF!</v>
      </c>
      <c r="F132" s="633" t="s">
        <v>415</v>
      </c>
      <c r="G132" s="628" t="str">
        <f t="shared" ref="G132:N132" si="18">G50</f>
        <v>und</v>
      </c>
      <c r="H132" s="628">
        <f t="shared" si="18"/>
        <v>0</v>
      </c>
      <c r="I132" s="628">
        <f t="shared" si="18"/>
        <v>0</v>
      </c>
      <c r="J132" s="628">
        <f t="shared" si="18"/>
        <v>0</v>
      </c>
      <c r="K132" s="628">
        <f t="shared" si="18"/>
        <v>0</v>
      </c>
      <c r="L132" s="628">
        <f t="shared" si="18"/>
        <v>0</v>
      </c>
      <c r="M132" s="628">
        <f t="shared" si="18"/>
        <v>0</v>
      </c>
      <c r="N132" s="913">
        <f t="shared" si="18"/>
        <v>6</v>
      </c>
      <c r="O132" s="911">
        <v>46509</v>
      </c>
      <c r="P132" s="911">
        <f t="shared" si="13"/>
        <v>279054</v>
      </c>
      <c r="Q132" s="755"/>
      <c r="S132" s="755"/>
    </row>
    <row r="133" spans="2:19" hidden="1" x14ac:dyDescent="0.25">
      <c r="B133" s="750"/>
      <c r="C133" s="752" t="e">
        <f>'FORMATO PROPUESTA ECONÓMICA'!#REF!</f>
        <v>#REF!</v>
      </c>
      <c r="D133" s="756"/>
      <c r="E133" s="620" t="e">
        <f>'FORMATO PROPUESTA ECONÓMICA'!#REF!</f>
        <v>#REF!</v>
      </c>
      <c r="F133" s="633" t="s">
        <v>416</v>
      </c>
      <c r="G133" s="628" t="str">
        <f t="shared" ref="G133:N133" si="19">G51</f>
        <v>und</v>
      </c>
      <c r="H133" s="628">
        <f t="shared" si="19"/>
        <v>0</v>
      </c>
      <c r="I133" s="628">
        <f t="shared" si="19"/>
        <v>0</v>
      </c>
      <c r="J133" s="628">
        <f t="shared" si="19"/>
        <v>0</v>
      </c>
      <c r="K133" s="628">
        <f t="shared" si="19"/>
        <v>0</v>
      </c>
      <c r="L133" s="628">
        <f t="shared" si="19"/>
        <v>0</v>
      </c>
      <c r="M133" s="628">
        <f t="shared" si="19"/>
        <v>0</v>
      </c>
      <c r="N133" s="913">
        <f t="shared" si="19"/>
        <v>0</v>
      </c>
      <c r="O133" s="911">
        <v>35277.919999999998</v>
      </c>
      <c r="P133" s="911">
        <f t="shared" si="13"/>
        <v>0</v>
      </c>
      <c r="Q133" s="755"/>
      <c r="S133" s="755"/>
    </row>
    <row r="134" spans="2:19" hidden="1" x14ac:dyDescent="0.25">
      <c r="B134" s="750"/>
      <c r="C134" s="752" t="e">
        <f>'FORMATO PROPUESTA ECONÓMICA'!#REF!</f>
        <v>#REF!</v>
      </c>
      <c r="D134" s="756"/>
      <c r="E134" s="620" t="e">
        <f>'FORMATO PROPUESTA ECONÓMICA'!#REF!</f>
        <v>#REF!</v>
      </c>
      <c r="F134" s="633" t="s">
        <v>417</v>
      </c>
      <c r="G134" s="628" t="str">
        <f t="shared" ref="G134:N134" si="20">G52</f>
        <v>und</v>
      </c>
      <c r="H134" s="628">
        <f t="shared" si="20"/>
        <v>0</v>
      </c>
      <c r="I134" s="628">
        <f t="shared" si="20"/>
        <v>0</v>
      </c>
      <c r="J134" s="628">
        <f t="shared" si="20"/>
        <v>0</v>
      </c>
      <c r="K134" s="628">
        <f t="shared" si="20"/>
        <v>0</v>
      </c>
      <c r="L134" s="628">
        <f t="shared" si="20"/>
        <v>0</v>
      </c>
      <c r="M134" s="628">
        <f t="shared" si="20"/>
        <v>0</v>
      </c>
      <c r="N134" s="913">
        <f t="shared" si="20"/>
        <v>0</v>
      </c>
      <c r="O134" s="911">
        <v>37681</v>
      </c>
      <c r="P134" s="911">
        <f t="shared" si="13"/>
        <v>0</v>
      </c>
      <c r="Q134" s="755"/>
      <c r="S134" s="755"/>
    </row>
    <row r="135" spans="2:19" x14ac:dyDescent="0.25">
      <c r="B135" s="750"/>
      <c r="C135" s="752" t="e">
        <f>'FORMATO PROPUESTA ECONÓMICA'!#REF!</f>
        <v>#REF!</v>
      </c>
      <c r="D135" s="756"/>
      <c r="E135" s="620" t="e">
        <f>'FORMATO PROPUESTA ECONÓMICA'!#REF!</f>
        <v>#REF!</v>
      </c>
      <c r="F135" s="633" t="s">
        <v>393</v>
      </c>
      <c r="G135" s="628" t="str">
        <f t="shared" ref="G135:N135" si="21">G53</f>
        <v>und</v>
      </c>
      <c r="H135" s="628">
        <f t="shared" si="21"/>
        <v>0</v>
      </c>
      <c r="I135" s="628">
        <f t="shared" si="21"/>
        <v>0</v>
      </c>
      <c r="J135" s="628">
        <f t="shared" si="21"/>
        <v>0</v>
      </c>
      <c r="K135" s="628">
        <f t="shared" si="21"/>
        <v>0</v>
      </c>
      <c r="L135" s="628">
        <f t="shared" si="21"/>
        <v>0</v>
      </c>
      <c r="M135" s="628">
        <f t="shared" si="21"/>
        <v>0</v>
      </c>
      <c r="N135" s="913">
        <f t="shared" si="21"/>
        <v>2</v>
      </c>
      <c r="O135" s="911">
        <v>39675</v>
      </c>
      <c r="P135" s="911">
        <f t="shared" si="13"/>
        <v>79350</v>
      </c>
      <c r="Q135" s="755"/>
      <c r="S135" s="755"/>
    </row>
    <row r="136" spans="2:19" hidden="1" x14ac:dyDescent="0.25">
      <c r="B136" s="750"/>
      <c r="C136" s="752" t="e">
        <f>'FORMATO PROPUESTA ECONÓMICA'!#REF!</f>
        <v>#REF!</v>
      </c>
      <c r="D136" s="756"/>
      <c r="E136" s="620" t="e">
        <f>'FORMATO PROPUESTA ECONÓMICA'!#REF!</f>
        <v>#REF!</v>
      </c>
      <c r="F136" s="633" t="s">
        <v>394</v>
      </c>
      <c r="G136" s="628" t="str">
        <f t="shared" ref="G136:N136" si="22">G54</f>
        <v>und</v>
      </c>
      <c r="H136" s="628">
        <f t="shared" si="22"/>
        <v>0</v>
      </c>
      <c r="I136" s="628">
        <f t="shared" si="22"/>
        <v>0</v>
      </c>
      <c r="J136" s="628">
        <f t="shared" si="22"/>
        <v>0</v>
      </c>
      <c r="K136" s="628">
        <f t="shared" si="22"/>
        <v>0</v>
      </c>
      <c r="L136" s="628">
        <f t="shared" si="22"/>
        <v>0</v>
      </c>
      <c r="M136" s="628">
        <f t="shared" si="22"/>
        <v>0</v>
      </c>
      <c r="N136" s="913">
        <f t="shared" si="22"/>
        <v>0</v>
      </c>
      <c r="O136" s="911">
        <v>50625</v>
      </c>
      <c r="P136" s="911">
        <f t="shared" si="13"/>
        <v>0</v>
      </c>
      <c r="Q136" s="755"/>
      <c r="S136" s="755"/>
    </row>
    <row r="137" spans="2:19" ht="30" hidden="1" x14ac:dyDescent="0.25">
      <c r="B137" s="750"/>
      <c r="C137" s="752" t="e">
        <f>'FORMATO PROPUESTA ECONÓMICA'!#REF!</f>
        <v>#REF!</v>
      </c>
      <c r="D137" s="756"/>
      <c r="E137" s="620" t="e">
        <f>'FORMATO PROPUESTA ECONÓMICA'!#REF!</f>
        <v>#REF!</v>
      </c>
      <c r="F137" s="633" t="s">
        <v>395</v>
      </c>
      <c r="G137" s="628" t="str">
        <f t="shared" ref="G137:N137" si="23">G55</f>
        <v>und</v>
      </c>
      <c r="H137" s="628">
        <f t="shared" si="23"/>
        <v>0</v>
      </c>
      <c r="I137" s="628">
        <f t="shared" si="23"/>
        <v>0</v>
      </c>
      <c r="J137" s="628">
        <f t="shared" si="23"/>
        <v>0</v>
      </c>
      <c r="K137" s="628">
        <f t="shared" si="23"/>
        <v>0</v>
      </c>
      <c r="L137" s="628">
        <f t="shared" si="23"/>
        <v>0</v>
      </c>
      <c r="M137" s="628">
        <f t="shared" si="23"/>
        <v>0</v>
      </c>
      <c r="N137" s="913">
        <f t="shared" si="23"/>
        <v>0</v>
      </c>
      <c r="O137" s="911">
        <v>134189</v>
      </c>
      <c r="P137" s="911">
        <f t="shared" si="13"/>
        <v>0</v>
      </c>
      <c r="Q137" s="755"/>
      <c r="S137" s="755"/>
    </row>
    <row r="138" spans="2:19" ht="30" hidden="1" x14ac:dyDescent="0.25">
      <c r="B138" s="750"/>
      <c r="C138" s="752" t="e">
        <f>'FORMATO PROPUESTA ECONÓMICA'!#REF!</f>
        <v>#REF!</v>
      </c>
      <c r="D138" s="756"/>
      <c r="E138" s="620" t="e">
        <f>'FORMATO PROPUESTA ECONÓMICA'!#REF!</f>
        <v>#REF!</v>
      </c>
      <c r="F138" s="633" t="s">
        <v>396</v>
      </c>
      <c r="G138" s="628" t="str">
        <f t="shared" ref="G138:N138" si="24">G56</f>
        <v>und</v>
      </c>
      <c r="H138" s="628">
        <f t="shared" si="24"/>
        <v>0</v>
      </c>
      <c r="I138" s="628">
        <f t="shared" si="24"/>
        <v>0</v>
      </c>
      <c r="J138" s="628">
        <f t="shared" si="24"/>
        <v>0</v>
      </c>
      <c r="K138" s="628">
        <f t="shared" si="24"/>
        <v>0</v>
      </c>
      <c r="L138" s="628">
        <f t="shared" si="24"/>
        <v>0</v>
      </c>
      <c r="M138" s="628">
        <f t="shared" si="24"/>
        <v>0</v>
      </c>
      <c r="N138" s="913">
        <f t="shared" si="24"/>
        <v>0</v>
      </c>
      <c r="O138" s="911">
        <v>134189</v>
      </c>
      <c r="P138" s="911">
        <f t="shared" si="13"/>
        <v>0</v>
      </c>
      <c r="Q138" s="755"/>
      <c r="S138" s="755"/>
    </row>
    <row r="139" spans="2:19" x14ac:dyDescent="0.25">
      <c r="B139" s="750"/>
      <c r="C139" s="752" t="e">
        <f>'FORMATO PROPUESTA ECONÓMICA'!#REF!</f>
        <v>#REF!</v>
      </c>
      <c r="D139" s="756"/>
      <c r="E139" s="620" t="e">
        <f>'FORMATO PROPUESTA ECONÓMICA'!#REF!</f>
        <v>#REF!</v>
      </c>
      <c r="F139" s="633" t="s">
        <v>418</v>
      </c>
      <c r="G139" s="628" t="str">
        <f t="shared" ref="G139:N139" si="25">G57</f>
        <v>und</v>
      </c>
      <c r="H139" s="628">
        <f t="shared" si="25"/>
        <v>0</v>
      </c>
      <c r="I139" s="628">
        <f t="shared" si="25"/>
        <v>0</v>
      </c>
      <c r="J139" s="628">
        <f t="shared" si="25"/>
        <v>0</v>
      </c>
      <c r="K139" s="628">
        <f t="shared" si="25"/>
        <v>0</v>
      </c>
      <c r="L139" s="628">
        <f t="shared" si="25"/>
        <v>0</v>
      </c>
      <c r="M139" s="628">
        <f t="shared" si="25"/>
        <v>0</v>
      </c>
      <c r="N139" s="913">
        <f t="shared" si="25"/>
        <v>480</v>
      </c>
      <c r="O139" s="911">
        <v>29369</v>
      </c>
      <c r="P139" s="911">
        <f t="shared" si="13"/>
        <v>14097120</v>
      </c>
      <c r="Q139" s="755"/>
      <c r="S139" s="755"/>
    </row>
    <row r="140" spans="2:19" x14ac:dyDescent="0.25">
      <c r="B140" s="750"/>
      <c r="C140" s="752" t="e">
        <f>'FORMATO PROPUESTA ECONÓMICA'!#REF!</f>
        <v>#REF!</v>
      </c>
      <c r="D140" s="756"/>
      <c r="E140" s="620" t="e">
        <f>'FORMATO PROPUESTA ECONÓMICA'!#REF!</f>
        <v>#REF!</v>
      </c>
      <c r="F140" s="633" t="s">
        <v>419</v>
      </c>
      <c r="G140" s="628" t="str">
        <f t="shared" ref="G140:N140" si="26">G58</f>
        <v>und</v>
      </c>
      <c r="H140" s="628">
        <f t="shared" si="26"/>
        <v>0</v>
      </c>
      <c r="I140" s="628">
        <f t="shared" si="26"/>
        <v>0</v>
      </c>
      <c r="J140" s="628">
        <f t="shared" si="26"/>
        <v>0</v>
      </c>
      <c r="K140" s="628">
        <f t="shared" si="26"/>
        <v>0</v>
      </c>
      <c r="L140" s="628">
        <f t="shared" si="26"/>
        <v>0</v>
      </c>
      <c r="M140" s="628">
        <f t="shared" si="26"/>
        <v>0</v>
      </c>
      <c r="N140" s="913">
        <f t="shared" si="26"/>
        <v>26</v>
      </c>
      <c r="O140" s="911">
        <v>19705</v>
      </c>
      <c r="P140" s="911">
        <f t="shared" si="13"/>
        <v>512330</v>
      </c>
      <c r="Q140" s="755"/>
      <c r="S140" s="755"/>
    </row>
    <row r="141" spans="2:19" hidden="1" x14ac:dyDescent="0.25">
      <c r="B141" s="750"/>
      <c r="C141" s="752" t="e">
        <f>'FORMATO PROPUESTA ECONÓMICA'!#REF!</f>
        <v>#REF!</v>
      </c>
      <c r="D141" s="756"/>
      <c r="E141" s="620" t="e">
        <f>'FORMATO PROPUESTA ECONÓMICA'!#REF!</f>
        <v>#REF!</v>
      </c>
      <c r="F141" s="633" t="s">
        <v>420</v>
      </c>
      <c r="G141" s="628" t="str">
        <f t="shared" ref="G141:N141" si="27">G59</f>
        <v>und</v>
      </c>
      <c r="H141" s="628">
        <f t="shared" si="27"/>
        <v>0</v>
      </c>
      <c r="I141" s="628">
        <f t="shared" si="27"/>
        <v>0</v>
      </c>
      <c r="J141" s="628">
        <f t="shared" si="27"/>
        <v>0</v>
      </c>
      <c r="K141" s="628">
        <f t="shared" si="27"/>
        <v>0</v>
      </c>
      <c r="L141" s="628">
        <f t="shared" si="27"/>
        <v>0</v>
      </c>
      <c r="M141" s="628">
        <f t="shared" si="27"/>
        <v>0</v>
      </c>
      <c r="N141" s="913">
        <f t="shared" si="27"/>
        <v>8</v>
      </c>
      <c r="O141" s="911">
        <v>24443</v>
      </c>
      <c r="P141" s="911">
        <f t="shared" si="13"/>
        <v>195544</v>
      </c>
      <c r="Q141" s="755"/>
      <c r="S141" s="755"/>
    </row>
    <row r="142" spans="2:19" hidden="1" x14ac:dyDescent="0.25">
      <c r="B142" s="750" t="str">
        <f>+'[3]4.Secundarias B_El Bosque'!C61</f>
        <v>Tubería PE Øint. 327.8mm</v>
      </c>
      <c r="C142" s="752" t="e">
        <f>'FORMATO PROPUESTA ECONÓMICA'!#REF!</f>
        <v>#REF!</v>
      </c>
      <c r="D142" s="756"/>
      <c r="E142" s="620" t="e">
        <f>'FORMATO PROPUESTA ECONÓMICA'!#REF!</f>
        <v>#REF!</v>
      </c>
      <c r="F142" s="633" t="s">
        <v>421</v>
      </c>
      <c r="G142" s="628" t="str">
        <f t="shared" ref="G142:N142" si="28">G60</f>
        <v>und</v>
      </c>
      <c r="H142" s="628">
        <f t="shared" si="28"/>
        <v>0</v>
      </c>
      <c r="I142" s="628">
        <f t="shared" si="28"/>
        <v>0</v>
      </c>
      <c r="J142" s="628">
        <f t="shared" si="28"/>
        <v>0</v>
      </c>
      <c r="K142" s="628">
        <f t="shared" si="28"/>
        <v>0</v>
      </c>
      <c r="L142" s="628">
        <f t="shared" si="28"/>
        <v>0</v>
      </c>
      <c r="M142" s="628">
        <f t="shared" si="28"/>
        <v>0</v>
      </c>
      <c r="N142" s="913">
        <f t="shared" si="28"/>
        <v>0</v>
      </c>
      <c r="O142" s="911">
        <v>56681</v>
      </c>
      <c r="P142" s="911">
        <f t="shared" si="13"/>
        <v>0</v>
      </c>
      <c r="Q142" s="755"/>
      <c r="S142" s="755"/>
    </row>
    <row r="143" spans="2:19" x14ac:dyDescent="0.25">
      <c r="B143" s="750" t="str">
        <f>+'[3]1. Colector Principal'!C68</f>
        <v>Tubería PE Øint. 415.6mm</v>
      </c>
      <c r="C143" s="752" t="e">
        <f>'FORMATO PROPUESTA ECONÓMICA'!#REF!</f>
        <v>#REF!</v>
      </c>
      <c r="D143" s="756"/>
      <c r="E143" s="620" t="e">
        <f>'FORMATO PROPUESTA ECONÓMICA'!#REF!</f>
        <v>#REF!</v>
      </c>
      <c r="F143" s="633" t="s">
        <v>422</v>
      </c>
      <c r="G143" s="628" t="str">
        <f t="shared" ref="G143:N143" si="29">G61</f>
        <v>und</v>
      </c>
      <c r="H143" s="628">
        <f t="shared" si="29"/>
        <v>0</v>
      </c>
      <c r="I143" s="628">
        <f t="shared" si="29"/>
        <v>0</v>
      </c>
      <c r="J143" s="628">
        <f t="shared" si="29"/>
        <v>0</v>
      </c>
      <c r="K143" s="628">
        <f t="shared" si="29"/>
        <v>0</v>
      </c>
      <c r="L143" s="628">
        <f t="shared" si="29"/>
        <v>0</v>
      </c>
      <c r="M143" s="628">
        <f t="shared" si="29"/>
        <v>0</v>
      </c>
      <c r="N143" s="913">
        <f t="shared" si="29"/>
        <v>2</v>
      </c>
      <c r="O143" s="911">
        <v>110957</v>
      </c>
      <c r="P143" s="911">
        <f t="shared" si="13"/>
        <v>221914</v>
      </c>
      <c r="Q143" s="755"/>
      <c r="S143" s="755"/>
    </row>
    <row r="144" spans="2:19" ht="30" x14ac:dyDescent="0.25">
      <c r="B144" s="750" t="str">
        <f>+'[3]5.Domiciliarias Colector La Yuq'!C35</f>
        <v>Suministro, transporte y colocacion de kit domiciliario en PE, incluye empaque, codo de 45° y espigo, en los siguientes diametros:</v>
      </c>
      <c r="C144" s="841" t="e">
        <f>'FORMATO PROPUESTA ECONÓMICA'!#REF!</f>
        <v>#REF!</v>
      </c>
      <c r="D144" s="758"/>
      <c r="E144" s="732" t="e">
        <f>'FORMATO PROPUESTA ECONÓMICA'!#REF!</f>
        <v>#REF!</v>
      </c>
      <c r="F144" s="43" t="s">
        <v>423</v>
      </c>
      <c r="G144" s="43"/>
      <c r="H144" s="43"/>
      <c r="I144" s="43"/>
      <c r="J144" s="43"/>
      <c r="K144" s="43"/>
      <c r="L144" s="43"/>
      <c r="M144" s="43"/>
      <c r="N144" s="960"/>
      <c r="O144" s="912"/>
      <c r="P144" s="912"/>
      <c r="Q144" s="755"/>
      <c r="R144" s="1007"/>
      <c r="S144" s="755"/>
    </row>
    <row r="145" spans="2:19" ht="30" x14ac:dyDescent="0.25">
      <c r="B145" s="750" t="str">
        <f>+'[3]6.Domiciliarias B_Obrero'!C33</f>
        <v>184.6 mm x 147.7 mm</v>
      </c>
      <c r="C145" s="752" t="e">
        <f>'FORMATO PROPUESTA ECONÓMICA'!#REF!</f>
        <v>#REF!</v>
      </c>
      <c r="D145" s="756"/>
      <c r="E145" s="634" t="e">
        <f>'FORMATO PROPUESTA ECONÓMICA'!#REF!</f>
        <v>#REF!</v>
      </c>
      <c r="F145" s="633" t="s">
        <v>402</v>
      </c>
      <c r="G145" s="628" t="str">
        <f>G65</f>
        <v>ml</v>
      </c>
      <c r="H145" s="628">
        <f t="shared" ref="H145:N145" si="30">H65</f>
        <v>0</v>
      </c>
      <c r="I145" s="628">
        <f t="shared" si="30"/>
        <v>0</v>
      </c>
      <c r="J145" s="628">
        <f t="shared" si="30"/>
        <v>1.0000004147351824</v>
      </c>
      <c r="K145" s="628">
        <f t="shared" si="30"/>
        <v>0</v>
      </c>
      <c r="L145" s="628">
        <f t="shared" si="30"/>
        <v>0</v>
      </c>
      <c r="M145" s="628">
        <f t="shared" si="30"/>
        <v>0</v>
      </c>
      <c r="N145" s="913">
        <f t="shared" si="30"/>
        <v>5889</v>
      </c>
      <c r="O145" s="911">
        <v>2433.6799999999998</v>
      </c>
      <c r="P145" s="911">
        <f t="shared" ref="P145:P160" si="31">IF(ISERROR(+N145*O145),"",+N145*O145)</f>
        <v>14331941.52</v>
      </c>
      <c r="Q145" s="755"/>
      <c r="R145" s="616"/>
      <c r="S145" s="755"/>
    </row>
    <row r="146" spans="2:19" ht="30" x14ac:dyDescent="0.25">
      <c r="B146" s="750" t="str">
        <f>+'[3]5.Domiciliarias Colector La Yuq'!C36</f>
        <v>230.8 mm x 147.7 mm</v>
      </c>
      <c r="C146" s="752" t="e">
        <f>'FORMATO PROPUESTA ECONÓMICA'!#REF!</f>
        <v>#REF!</v>
      </c>
      <c r="D146" s="756"/>
      <c r="E146" s="634" t="e">
        <f>'FORMATO PROPUESTA ECONÓMICA'!#REF!</f>
        <v>#REF!</v>
      </c>
      <c r="F146" s="633" t="s">
        <v>403</v>
      </c>
      <c r="G146" s="628" t="str">
        <f t="shared" ref="G146:N146" si="32">G66</f>
        <v>ml</v>
      </c>
      <c r="H146" s="628">
        <f t="shared" si="32"/>
        <v>0</v>
      </c>
      <c r="I146" s="628">
        <f t="shared" si="32"/>
        <v>0</v>
      </c>
      <c r="J146" s="628">
        <f t="shared" si="32"/>
        <v>0.99999988060184275</v>
      </c>
      <c r="K146" s="628">
        <f t="shared" si="32"/>
        <v>0</v>
      </c>
      <c r="L146" s="628">
        <f t="shared" si="32"/>
        <v>0</v>
      </c>
      <c r="M146" s="628">
        <f t="shared" si="32"/>
        <v>0</v>
      </c>
      <c r="N146" s="913">
        <f t="shared" si="32"/>
        <v>50</v>
      </c>
      <c r="O146" s="911">
        <v>3778.12</v>
      </c>
      <c r="P146" s="911">
        <f t="shared" si="31"/>
        <v>188906</v>
      </c>
      <c r="Q146" s="755"/>
      <c r="S146" s="755"/>
    </row>
    <row r="147" spans="2:19" x14ac:dyDescent="0.25">
      <c r="B147" s="750" t="str">
        <f>+'[3]5.Domiciliarias Colector La Yuq'!C37</f>
        <v>290.8 mm x 147.7 mm</v>
      </c>
      <c r="C147" s="752" t="e">
        <f>'FORMATO PROPUESTA ECONÓMICA'!#REF!</f>
        <v>#REF!</v>
      </c>
      <c r="D147" s="756"/>
      <c r="E147" s="634" t="e">
        <f>'FORMATO PROPUESTA ECONÓMICA'!#REF!</f>
        <v>#REF!</v>
      </c>
      <c r="F147" s="633" t="s">
        <v>424</v>
      </c>
      <c r="G147" s="628" t="str">
        <f t="shared" ref="G147:N147" si="33">G67</f>
        <v>und</v>
      </c>
      <c r="H147" s="628">
        <f t="shared" si="33"/>
        <v>0</v>
      </c>
      <c r="I147" s="628">
        <f t="shared" si="33"/>
        <v>0</v>
      </c>
      <c r="J147" s="628">
        <f t="shared" si="33"/>
        <v>0</v>
      </c>
      <c r="K147" s="628">
        <f t="shared" si="33"/>
        <v>0</v>
      </c>
      <c r="L147" s="628">
        <f t="shared" si="33"/>
        <v>0</v>
      </c>
      <c r="M147" s="628">
        <f t="shared" si="33"/>
        <v>0</v>
      </c>
      <c r="N147" s="913">
        <f t="shared" si="33"/>
        <v>1963</v>
      </c>
      <c r="O147" s="911">
        <v>14618</v>
      </c>
      <c r="P147" s="911">
        <f t="shared" si="31"/>
        <v>28695134</v>
      </c>
      <c r="Q147" s="755"/>
      <c r="R147" s="1007"/>
      <c r="S147" s="755"/>
    </row>
    <row r="148" spans="2:19" x14ac:dyDescent="0.25">
      <c r="B148" s="750" t="str">
        <f>+'[3]8.Domiciliarias B_El Bosque'!C37</f>
        <v>327.8 mm x 147.7 mm</v>
      </c>
      <c r="C148" s="752" t="e">
        <f>'FORMATO PROPUESTA ECONÓMICA'!#REF!</f>
        <v>#REF!</v>
      </c>
      <c r="D148" s="756"/>
      <c r="E148" s="634" t="e">
        <f>'FORMATO PROPUESTA ECONÓMICA'!#REF!</f>
        <v>#REF!</v>
      </c>
      <c r="F148" s="633" t="s">
        <v>426</v>
      </c>
      <c r="G148" s="628" t="str">
        <f t="shared" ref="G148:N148" si="34">G68</f>
        <v>und</v>
      </c>
      <c r="H148" s="628">
        <f t="shared" si="34"/>
        <v>0</v>
      </c>
      <c r="I148" s="628">
        <f t="shared" si="34"/>
        <v>0</v>
      </c>
      <c r="J148" s="628">
        <f t="shared" si="34"/>
        <v>0</v>
      </c>
      <c r="K148" s="628">
        <f t="shared" si="34"/>
        <v>0</v>
      </c>
      <c r="L148" s="628">
        <f t="shared" si="34"/>
        <v>0</v>
      </c>
      <c r="M148" s="628">
        <f t="shared" si="34"/>
        <v>0</v>
      </c>
      <c r="N148" s="913">
        <f t="shared" si="34"/>
        <v>10</v>
      </c>
      <c r="O148" s="911">
        <v>14618</v>
      </c>
      <c r="P148" s="911">
        <f t="shared" si="31"/>
        <v>146180</v>
      </c>
      <c r="Q148" s="755"/>
      <c r="S148" s="755"/>
    </row>
    <row r="149" spans="2:19" hidden="1" x14ac:dyDescent="0.25">
      <c r="B149" s="750"/>
      <c r="C149" s="752" t="e">
        <f>'FORMATO PROPUESTA ECONÓMICA'!#REF!</f>
        <v>#REF!</v>
      </c>
      <c r="D149" s="756"/>
      <c r="E149" s="634" t="e">
        <f>'FORMATO PROPUESTA ECONÓMICA'!#REF!</f>
        <v>#REF!</v>
      </c>
      <c r="F149" s="633" t="s">
        <v>425</v>
      </c>
      <c r="G149" s="628" t="str">
        <f t="shared" ref="G149:N149" si="35">G69</f>
        <v>und</v>
      </c>
      <c r="H149" s="628">
        <f t="shared" si="35"/>
        <v>0</v>
      </c>
      <c r="I149" s="628">
        <f t="shared" si="35"/>
        <v>0</v>
      </c>
      <c r="J149" s="628">
        <f t="shared" si="35"/>
        <v>0</v>
      </c>
      <c r="K149" s="628">
        <f t="shared" si="35"/>
        <v>0</v>
      </c>
      <c r="L149" s="628">
        <f t="shared" si="35"/>
        <v>0</v>
      </c>
      <c r="M149" s="628">
        <f t="shared" si="35"/>
        <v>0</v>
      </c>
      <c r="N149" s="913">
        <f t="shared" si="35"/>
        <v>0</v>
      </c>
      <c r="O149" s="911">
        <v>14618</v>
      </c>
      <c r="P149" s="911">
        <f t="shared" si="31"/>
        <v>0</v>
      </c>
      <c r="Q149" s="755"/>
      <c r="S149" s="755"/>
    </row>
    <row r="150" spans="2:19" hidden="1" x14ac:dyDescent="0.25">
      <c r="B150" s="750"/>
      <c r="C150" s="752" t="e">
        <f>'FORMATO PROPUESTA ECONÓMICA'!#REF!</f>
        <v>#REF!</v>
      </c>
      <c r="D150" s="756"/>
      <c r="E150" s="634" t="e">
        <f>'FORMATO PROPUESTA ECONÓMICA'!#REF!</f>
        <v>#REF!</v>
      </c>
      <c r="F150" s="633" t="s">
        <v>427</v>
      </c>
      <c r="G150" s="628" t="str">
        <f t="shared" ref="G150:N150" si="36">G70</f>
        <v>und</v>
      </c>
      <c r="H150" s="628">
        <f t="shared" si="36"/>
        <v>0</v>
      </c>
      <c r="I150" s="628">
        <f t="shared" si="36"/>
        <v>0</v>
      </c>
      <c r="J150" s="628">
        <f t="shared" si="36"/>
        <v>0</v>
      </c>
      <c r="K150" s="628">
        <f t="shared" si="36"/>
        <v>0</v>
      </c>
      <c r="L150" s="628">
        <f t="shared" si="36"/>
        <v>0</v>
      </c>
      <c r="M150" s="628">
        <f t="shared" si="36"/>
        <v>0</v>
      </c>
      <c r="N150" s="913">
        <f t="shared" si="36"/>
        <v>0</v>
      </c>
      <c r="O150" s="911">
        <v>14618</v>
      </c>
      <c r="P150" s="911">
        <f t="shared" si="31"/>
        <v>0</v>
      </c>
      <c r="Q150" s="755"/>
      <c r="S150" s="755"/>
    </row>
    <row r="151" spans="2:19" hidden="1" x14ac:dyDescent="0.25">
      <c r="B151" s="750"/>
      <c r="C151" s="752" t="e">
        <f>'FORMATO PROPUESTA ECONÓMICA'!#REF!</f>
        <v>#REF!</v>
      </c>
      <c r="D151" s="756"/>
      <c r="E151" s="634" t="e">
        <f>'FORMATO PROPUESTA ECONÓMICA'!#REF!</f>
        <v>#REF!</v>
      </c>
      <c r="F151" s="633" t="s">
        <v>428</v>
      </c>
      <c r="G151" s="628" t="str">
        <f t="shared" ref="G151:N151" si="37">G71</f>
        <v>und</v>
      </c>
      <c r="H151" s="628">
        <f t="shared" si="37"/>
        <v>0</v>
      </c>
      <c r="I151" s="628">
        <f t="shared" si="37"/>
        <v>0</v>
      </c>
      <c r="J151" s="628">
        <f t="shared" si="37"/>
        <v>0</v>
      </c>
      <c r="K151" s="628">
        <f t="shared" si="37"/>
        <v>0</v>
      </c>
      <c r="L151" s="628">
        <f t="shared" si="37"/>
        <v>0</v>
      </c>
      <c r="M151" s="628">
        <f t="shared" si="37"/>
        <v>0</v>
      </c>
      <c r="N151" s="913">
        <f t="shared" si="37"/>
        <v>0</v>
      </c>
      <c r="O151" s="911">
        <v>14618</v>
      </c>
      <c r="P151" s="911">
        <f t="shared" si="31"/>
        <v>0</v>
      </c>
      <c r="Q151" s="755"/>
      <c r="S151" s="755"/>
    </row>
    <row r="152" spans="2:19" x14ac:dyDescent="0.25">
      <c r="B152" s="750"/>
      <c r="C152" s="752" t="e">
        <f>'FORMATO PROPUESTA ECONÓMICA'!#REF!</f>
        <v>#REF!</v>
      </c>
      <c r="D152" s="756"/>
      <c r="E152" s="634" t="e">
        <f>'FORMATO PROPUESTA ECONÓMICA'!#REF!</f>
        <v>#REF!</v>
      </c>
      <c r="F152" s="633" t="s">
        <v>479</v>
      </c>
      <c r="G152" s="628" t="str">
        <f t="shared" ref="G152:M152" si="38">G72</f>
        <v>und</v>
      </c>
      <c r="H152" s="628">
        <f t="shared" si="38"/>
        <v>0</v>
      </c>
      <c r="I152" s="628">
        <f t="shared" si="38"/>
        <v>0</v>
      </c>
      <c r="J152" s="628">
        <f t="shared" si="38"/>
        <v>0</v>
      </c>
      <c r="K152" s="628">
        <f t="shared" si="38"/>
        <v>0</v>
      </c>
      <c r="L152" s="628">
        <f t="shared" si="38"/>
        <v>0</v>
      </c>
      <c r="M152" s="628">
        <f t="shared" si="38"/>
        <v>0</v>
      </c>
      <c r="N152" s="1010">
        <f>N72/2</f>
        <v>981.5</v>
      </c>
      <c r="O152" s="911">
        <v>3996</v>
      </c>
      <c r="P152" s="911">
        <f t="shared" si="31"/>
        <v>3922074</v>
      </c>
      <c r="Q152" s="755"/>
      <c r="R152" s="1007"/>
      <c r="S152" s="755"/>
    </row>
    <row r="153" spans="2:19" hidden="1" x14ac:dyDescent="0.25">
      <c r="B153" s="750"/>
      <c r="C153" s="752" t="e">
        <f>'FORMATO PROPUESTA ECONÓMICA'!#REF!</f>
        <v>#REF!</v>
      </c>
      <c r="D153" s="756"/>
      <c r="E153" s="634" t="e">
        <f>'FORMATO PROPUESTA ECONÓMICA'!#REF!</f>
        <v>#REF!</v>
      </c>
      <c r="F153" s="633" t="s">
        <v>343</v>
      </c>
      <c r="G153" s="628" t="str">
        <f t="shared" ref="G153" si="39">G73</f>
        <v>und</v>
      </c>
      <c r="H153" s="628">
        <f t="shared" ref="H153:N153" si="40">H73</f>
        <v>0</v>
      </c>
      <c r="I153" s="628">
        <f t="shared" si="40"/>
        <v>0</v>
      </c>
      <c r="J153" s="628">
        <f t="shared" si="40"/>
        <v>1</v>
      </c>
      <c r="K153" s="628">
        <f t="shared" si="40"/>
        <v>0</v>
      </c>
      <c r="L153" s="628">
        <f t="shared" si="40"/>
        <v>0</v>
      </c>
      <c r="M153" s="628">
        <f t="shared" si="40"/>
        <v>0</v>
      </c>
      <c r="N153" s="913">
        <f t="shared" si="40"/>
        <v>0</v>
      </c>
      <c r="O153" s="911">
        <v>5316</v>
      </c>
      <c r="P153" s="911">
        <f t="shared" si="31"/>
        <v>0</v>
      </c>
      <c r="Q153" s="755"/>
      <c r="S153" s="755"/>
    </row>
    <row r="154" spans="2:19" x14ac:dyDescent="0.25">
      <c r="B154" s="750"/>
      <c r="C154" s="752">
        <v>708</v>
      </c>
      <c r="D154" s="756"/>
      <c r="E154" s="634" t="e">
        <f>'FORMATO PROPUESTA ECONÓMICA'!#REF!</f>
        <v>#REF!</v>
      </c>
      <c r="F154" s="633" t="s">
        <v>478</v>
      </c>
      <c r="G154" s="628" t="str">
        <f t="shared" ref="G154" si="41">G74</f>
        <v>und</v>
      </c>
      <c r="H154" s="628"/>
      <c r="I154" s="628"/>
      <c r="J154" s="628"/>
      <c r="K154" s="628"/>
      <c r="L154" s="628"/>
      <c r="M154" s="628"/>
      <c r="N154" s="1010">
        <f>N72/2</f>
        <v>981.5</v>
      </c>
      <c r="O154" s="911">
        <v>3996</v>
      </c>
      <c r="P154" s="911">
        <f t="shared" ref="P154" si="42">IF(ISERROR(+N154*O154),"",+N154*O154)</f>
        <v>3922074</v>
      </c>
      <c r="Q154" s="755"/>
      <c r="S154" s="755"/>
    </row>
    <row r="155" spans="2:19" x14ac:dyDescent="0.25">
      <c r="B155" s="750"/>
      <c r="C155" s="752">
        <v>708</v>
      </c>
      <c r="D155" s="756"/>
      <c r="E155" s="620" t="e">
        <f>'FORMATO PROPUESTA ECONÓMICA'!#REF!</f>
        <v>#REF!</v>
      </c>
      <c r="F155" s="633" t="s">
        <v>344</v>
      </c>
      <c r="G155" s="628" t="str">
        <f t="shared" ref="G155:N155" si="43">G74</f>
        <v>und</v>
      </c>
      <c r="H155" s="628">
        <f t="shared" si="43"/>
        <v>0</v>
      </c>
      <c r="I155" s="628">
        <f t="shared" si="43"/>
        <v>0</v>
      </c>
      <c r="J155" s="628">
        <f t="shared" si="43"/>
        <v>1.0000039227956519</v>
      </c>
      <c r="K155" s="628">
        <f t="shared" si="43"/>
        <v>0</v>
      </c>
      <c r="L155" s="628">
        <f t="shared" si="43"/>
        <v>0</v>
      </c>
      <c r="M155" s="628">
        <f t="shared" si="43"/>
        <v>0</v>
      </c>
      <c r="N155" s="913">
        <f t="shared" si="43"/>
        <v>250</v>
      </c>
      <c r="O155" s="911">
        <v>3996</v>
      </c>
      <c r="P155" s="911">
        <f t="shared" si="31"/>
        <v>999000</v>
      </c>
      <c r="Q155" s="755"/>
      <c r="R155" s="1007"/>
      <c r="S155" s="755"/>
    </row>
    <row r="156" spans="2:19" x14ac:dyDescent="0.25">
      <c r="B156" s="750"/>
      <c r="C156" s="752" t="e">
        <f>'FORMATO PROPUESTA ECONÓMICA'!#REF!</f>
        <v>#REF!</v>
      </c>
      <c r="D156" s="756"/>
      <c r="E156" s="620" t="e">
        <f>'FORMATO PROPUESTA ECONÓMICA'!#REF!</f>
        <v>#REF!</v>
      </c>
      <c r="F156" s="633" t="s">
        <v>345</v>
      </c>
      <c r="G156" s="628" t="str">
        <f t="shared" ref="G156:N156" si="44">G75</f>
        <v>und</v>
      </c>
      <c r="H156" s="628">
        <f t="shared" si="44"/>
        <v>0</v>
      </c>
      <c r="I156" s="628">
        <f t="shared" si="44"/>
        <v>0</v>
      </c>
      <c r="J156" s="628">
        <f t="shared" si="44"/>
        <v>0.99999968892509594</v>
      </c>
      <c r="K156" s="628">
        <f t="shared" si="44"/>
        <v>0</v>
      </c>
      <c r="L156" s="628">
        <f t="shared" si="44"/>
        <v>0</v>
      </c>
      <c r="M156" s="628">
        <f t="shared" si="44"/>
        <v>0</v>
      </c>
      <c r="N156" s="913">
        <f t="shared" si="44"/>
        <v>1068.6500000000001</v>
      </c>
      <c r="O156" s="911">
        <v>15225</v>
      </c>
      <c r="P156" s="911">
        <f t="shared" si="31"/>
        <v>16270196.250000002</v>
      </c>
      <c r="Q156" s="755"/>
      <c r="S156" s="755"/>
    </row>
    <row r="157" spans="2:19" ht="90" hidden="1" x14ac:dyDescent="0.25">
      <c r="B157" s="750"/>
      <c r="C157" s="752" t="e">
        <f>'FORMATO PROPUESTA ECONÓMICA'!#REF!</f>
        <v>#REF!</v>
      </c>
      <c r="D157" s="756"/>
      <c r="E157" s="620" t="e">
        <f>'FORMATO PROPUESTA ECONÓMICA'!#REF!</f>
        <v>#REF!</v>
      </c>
      <c r="F157" s="633" t="s">
        <v>353</v>
      </c>
      <c r="G157" s="628" t="str">
        <f t="shared" ref="G157:N157" si="45">G76</f>
        <v>und</v>
      </c>
      <c r="H157" s="628">
        <f t="shared" si="45"/>
        <v>0</v>
      </c>
      <c r="I157" s="628">
        <f t="shared" si="45"/>
        <v>0</v>
      </c>
      <c r="J157" s="628">
        <f t="shared" si="45"/>
        <v>1</v>
      </c>
      <c r="K157" s="628">
        <f t="shared" si="45"/>
        <v>0</v>
      </c>
      <c r="L157" s="628">
        <f t="shared" si="45"/>
        <v>0</v>
      </c>
      <c r="M157" s="628">
        <f t="shared" si="45"/>
        <v>0</v>
      </c>
      <c r="N157" s="952">
        <f t="shared" si="45"/>
        <v>1068.6500000000001</v>
      </c>
      <c r="O157" s="911"/>
      <c r="P157" s="911">
        <f t="shared" si="31"/>
        <v>0</v>
      </c>
      <c r="Q157" s="755"/>
      <c r="S157" s="755"/>
    </row>
    <row r="158" spans="2:19" x14ac:dyDescent="0.25">
      <c r="B158" s="750"/>
      <c r="C158" s="752" t="e">
        <f>'FORMATO PROPUESTA ECONÓMICA'!#REF!</f>
        <v>#REF!</v>
      </c>
      <c r="D158" s="756"/>
      <c r="E158" s="620" t="e">
        <f>'FORMATO PROPUESTA ECONÓMICA'!#REF!</f>
        <v>#REF!</v>
      </c>
      <c r="F158" s="633" t="s">
        <v>346</v>
      </c>
      <c r="G158" s="628" t="str">
        <f t="shared" ref="G158:N158" si="46">G77</f>
        <v>und</v>
      </c>
      <c r="H158" s="628">
        <f t="shared" si="46"/>
        <v>0</v>
      </c>
      <c r="I158" s="628">
        <f t="shared" si="46"/>
        <v>0</v>
      </c>
      <c r="J158" s="628">
        <f t="shared" si="46"/>
        <v>1</v>
      </c>
      <c r="K158" s="628">
        <f t="shared" si="46"/>
        <v>0</v>
      </c>
      <c r="L158" s="628">
        <f t="shared" si="46"/>
        <v>0</v>
      </c>
      <c r="M158" s="628">
        <f t="shared" si="46"/>
        <v>0</v>
      </c>
      <c r="N158" s="913">
        <f t="shared" si="46"/>
        <v>1068.6500000000001</v>
      </c>
      <c r="O158" s="911">
        <v>7350</v>
      </c>
      <c r="P158" s="911">
        <f t="shared" si="31"/>
        <v>7854577.5000000009</v>
      </c>
      <c r="Q158" s="755"/>
      <c r="R158" s="1007"/>
      <c r="S158" s="755"/>
    </row>
    <row r="159" spans="2:19" x14ac:dyDescent="0.25">
      <c r="B159" s="750" t="str">
        <f>+'[3]5.Domiciliarias Colector La Yuq'!C38</f>
        <v>415.6 mm x 147.7 mm</v>
      </c>
      <c r="C159" s="752" t="e">
        <f>'FORMATO PROPUESTA ECONÓMICA'!#REF!</f>
        <v>#REF!</v>
      </c>
      <c r="D159" s="756"/>
      <c r="E159" s="620" t="e">
        <f>'FORMATO PROPUESTA ECONÓMICA'!#REF!</f>
        <v>#REF!</v>
      </c>
      <c r="F159" s="633" t="s">
        <v>347</v>
      </c>
      <c r="G159" s="628" t="str">
        <f t="shared" ref="G159:N159" si="47">G78</f>
        <v>und</v>
      </c>
      <c r="H159" s="628">
        <f t="shared" si="47"/>
        <v>0</v>
      </c>
      <c r="I159" s="628">
        <f t="shared" si="47"/>
        <v>0</v>
      </c>
      <c r="J159" s="628">
        <f t="shared" si="47"/>
        <v>0.99995051233937871</v>
      </c>
      <c r="K159" s="628">
        <f t="shared" si="47"/>
        <v>0</v>
      </c>
      <c r="L159" s="628">
        <f t="shared" si="47"/>
        <v>0</v>
      </c>
      <c r="M159" s="628">
        <f t="shared" si="47"/>
        <v>0</v>
      </c>
      <c r="N159" s="913">
        <f t="shared" si="47"/>
        <v>1963</v>
      </c>
      <c r="O159" s="911">
        <v>394</v>
      </c>
      <c r="P159" s="911">
        <f t="shared" si="31"/>
        <v>773422</v>
      </c>
      <c r="Q159" s="755"/>
      <c r="S159" s="755"/>
    </row>
    <row r="160" spans="2:19" x14ac:dyDescent="0.25">
      <c r="B160" s="750" t="str">
        <f>+'[3]5.Domiciliarias Colector La Yuq'!C39</f>
        <v>461.8 mm x 147.7 mm</v>
      </c>
      <c r="C160" s="752" t="e">
        <f>'FORMATO PROPUESTA ECONÓMICA'!#REF!</f>
        <v>#REF!</v>
      </c>
      <c r="D160" s="756"/>
      <c r="E160" s="620" t="e">
        <f>'FORMATO PROPUESTA ECONÓMICA'!#REF!</f>
        <v>#REF!</v>
      </c>
      <c r="F160" s="633" t="s">
        <v>348</v>
      </c>
      <c r="G160" s="628" t="str">
        <f t="shared" ref="G160:N160" si="48">G79</f>
        <v>und</v>
      </c>
      <c r="H160" s="628">
        <f t="shared" si="48"/>
        <v>0</v>
      </c>
      <c r="I160" s="628">
        <f t="shared" si="48"/>
        <v>0</v>
      </c>
      <c r="J160" s="628">
        <f t="shared" si="48"/>
        <v>1</v>
      </c>
      <c r="K160" s="628">
        <f t="shared" si="48"/>
        <v>0</v>
      </c>
      <c r="L160" s="628">
        <f t="shared" si="48"/>
        <v>0</v>
      </c>
      <c r="M160" s="628">
        <f t="shared" si="48"/>
        <v>0</v>
      </c>
      <c r="N160" s="913">
        <f t="shared" si="48"/>
        <v>1963</v>
      </c>
      <c r="O160" s="911">
        <v>616</v>
      </c>
      <c r="P160" s="911">
        <f t="shared" si="31"/>
        <v>1209208</v>
      </c>
      <c r="Q160" s="755"/>
      <c r="S160" s="755"/>
    </row>
    <row r="161" spans="3:19" x14ac:dyDescent="0.25">
      <c r="C161" s="843"/>
      <c r="D161" s="844"/>
      <c r="E161" s="845"/>
      <c r="F161" s="845"/>
      <c r="G161" s="845"/>
      <c r="H161" s="845"/>
      <c r="I161" s="845"/>
      <c r="J161" s="845"/>
      <c r="K161" s="845"/>
      <c r="L161" s="845"/>
      <c r="M161" s="845"/>
      <c r="N161" s="845"/>
      <c r="O161" s="845"/>
      <c r="P161" s="845"/>
    </row>
    <row r="162" spans="3:19" ht="15.75" thickBot="1" x14ac:dyDescent="0.3">
      <c r="D162" s="781"/>
      <c r="G162" s="745"/>
      <c r="H162" s="745"/>
      <c r="I162" s="745"/>
      <c r="J162" s="745"/>
      <c r="K162" s="7" t="str">
        <f>+O162</f>
        <v>OBRA CIVIL</v>
      </c>
      <c r="L162" s="7" t="str">
        <f>+P162</f>
        <v>SUMINISTRO</v>
      </c>
      <c r="M162" s="745"/>
      <c r="O162" s="20" t="str">
        <f>+F9</f>
        <v>OBRA CIVIL</v>
      </c>
      <c r="P162" s="20" t="str">
        <f>+F115</f>
        <v>SUMINISTRO</v>
      </c>
    </row>
    <row r="163" spans="3:19" x14ac:dyDescent="0.25">
      <c r="C163" s="782"/>
      <c r="D163" s="783"/>
      <c r="E163" s="783"/>
      <c r="F163" s="783" t="s">
        <v>19</v>
      </c>
      <c r="G163" s="783"/>
      <c r="H163" s="783"/>
      <c r="I163" s="783"/>
      <c r="J163" s="783"/>
      <c r="K163" s="784">
        <f>+SUM(L11:L114)</f>
        <v>0</v>
      </c>
      <c r="L163" s="784"/>
      <c r="M163" s="783"/>
      <c r="N163" s="783"/>
      <c r="O163" s="919">
        <f>+SUM(P11:P114)</f>
        <v>0</v>
      </c>
      <c r="P163" s="919"/>
    </row>
    <row r="164" spans="3:19" x14ac:dyDescent="0.25">
      <c r="C164" s="785"/>
      <c r="D164" s="786"/>
      <c r="E164" s="786"/>
      <c r="F164" s="786" t="s">
        <v>20</v>
      </c>
      <c r="G164" s="786"/>
      <c r="H164" s="786"/>
      <c r="I164" s="786"/>
      <c r="J164" s="786"/>
      <c r="K164" s="787"/>
      <c r="L164" s="787">
        <f>+SUM(L117:L160)</f>
        <v>0</v>
      </c>
      <c r="M164" s="786"/>
      <c r="N164" s="786"/>
      <c r="O164" s="920"/>
      <c r="P164" s="920">
        <f>+SUM(P117:P160)*1.16</f>
        <v>395503240.62231994</v>
      </c>
    </row>
    <row r="165" spans="3:19" x14ac:dyDescent="0.25">
      <c r="C165" s="785"/>
      <c r="D165" s="786"/>
      <c r="E165" s="786"/>
      <c r="F165" s="786" t="s">
        <v>21</v>
      </c>
      <c r="G165" s="786"/>
      <c r="H165" s="786"/>
      <c r="I165" s="786"/>
      <c r="J165" s="786"/>
      <c r="K165" s="788">
        <f>+K163</f>
        <v>0</v>
      </c>
      <c r="L165" s="788">
        <f>+L164</f>
        <v>0</v>
      </c>
      <c r="M165" s="786"/>
      <c r="N165" s="786"/>
      <c r="O165" s="961">
        <f>+O163</f>
        <v>0</v>
      </c>
      <c r="P165" s="961">
        <f>+P164</f>
        <v>395503240.62231994</v>
      </c>
    </row>
    <row r="166" spans="3:19" x14ac:dyDescent="0.25">
      <c r="C166" s="789"/>
      <c r="D166" s="790"/>
      <c r="E166" s="790"/>
      <c r="F166" s="791" t="s">
        <v>22</v>
      </c>
      <c r="G166" s="790"/>
      <c r="H166" s="790"/>
      <c r="I166" s="790"/>
      <c r="J166" s="790"/>
      <c r="K166" s="1427">
        <f>+L165+K165</f>
        <v>0</v>
      </c>
      <c r="L166" s="1427"/>
      <c r="M166" s="790"/>
      <c r="N166" s="790"/>
      <c r="O166" s="1427">
        <f>+P165+O165</f>
        <v>395503240.62231994</v>
      </c>
      <c r="P166" s="1427"/>
    </row>
    <row r="167" spans="3:19" x14ac:dyDescent="0.25">
      <c r="C167" s="792"/>
      <c r="D167" s="793"/>
      <c r="E167" s="793"/>
      <c r="F167" s="786" t="s">
        <v>337</v>
      </c>
      <c r="G167" s="793"/>
      <c r="H167" s="793"/>
      <c r="I167" s="793"/>
      <c r="J167" s="793"/>
      <c r="K167" s="787" t="e">
        <f>+K165*$N167</f>
        <v>#DIV/0!</v>
      </c>
      <c r="L167" s="787"/>
      <c r="M167" s="793"/>
      <c r="N167" s="914" t="e">
        <f>ROUND(AU!G70,2)</f>
        <v>#DIV/0!</v>
      </c>
      <c r="O167" s="920" t="e">
        <f>+O165*$N167</f>
        <v>#DIV/0!</v>
      </c>
      <c r="P167" s="920"/>
    </row>
    <row r="168" spans="3:19" x14ac:dyDescent="0.25">
      <c r="C168" s="792"/>
      <c r="D168" s="793"/>
      <c r="E168" s="793"/>
      <c r="F168" s="786" t="s">
        <v>338</v>
      </c>
      <c r="G168" s="793"/>
      <c r="H168" s="793"/>
      <c r="I168" s="793"/>
      <c r="J168" s="793"/>
      <c r="K168" s="787"/>
      <c r="L168" s="787">
        <f>+L165*$N168</f>
        <v>0</v>
      </c>
      <c r="M168" s="793"/>
      <c r="N168" s="914">
        <v>0.08</v>
      </c>
      <c r="O168" s="920"/>
      <c r="P168" s="920">
        <f>+P165*$N168</f>
        <v>31640259.249785595</v>
      </c>
    </row>
    <row r="169" spans="3:19" x14ac:dyDescent="0.25">
      <c r="C169" s="789"/>
      <c r="D169" s="790"/>
      <c r="E169" s="790"/>
      <c r="F169" s="791" t="s">
        <v>23</v>
      </c>
      <c r="G169" s="790"/>
      <c r="H169" s="790"/>
      <c r="I169" s="790"/>
      <c r="J169" s="790"/>
      <c r="K169" s="1427" t="e">
        <f>+K167+L168</f>
        <v>#DIV/0!</v>
      </c>
      <c r="L169" s="1427"/>
      <c r="M169" s="790"/>
      <c r="N169" s="790"/>
      <c r="O169" s="1427" t="e">
        <f>+O167+P168</f>
        <v>#DIV/0!</v>
      </c>
      <c r="P169" s="1427"/>
      <c r="S169" s="755"/>
    </row>
    <row r="170" spans="3:19" x14ac:dyDescent="0.25">
      <c r="C170" s="792"/>
      <c r="D170" s="793"/>
      <c r="E170" s="793"/>
      <c r="F170" s="786" t="s">
        <v>24</v>
      </c>
      <c r="G170" s="793"/>
      <c r="H170" s="793"/>
      <c r="I170" s="793"/>
      <c r="J170" s="793"/>
      <c r="K170" s="788" t="e">
        <f>+K167+K165</f>
        <v>#DIV/0!</v>
      </c>
      <c r="L170" s="788">
        <f>+L168+L165</f>
        <v>0</v>
      </c>
      <c r="M170" s="793"/>
      <c r="N170" s="914"/>
      <c r="O170" s="961" t="e">
        <f>+O167+O165</f>
        <v>#DIV/0!</v>
      </c>
      <c r="P170" s="961">
        <f>+P168+P165</f>
        <v>427143499.87210554</v>
      </c>
    </row>
    <row r="171" spans="3:19" x14ac:dyDescent="0.25">
      <c r="C171" s="789"/>
      <c r="D171" s="790"/>
      <c r="E171" s="790"/>
      <c r="F171" s="791" t="s">
        <v>25</v>
      </c>
      <c r="G171" s="790"/>
      <c r="H171" s="790"/>
      <c r="I171" s="790"/>
      <c r="J171" s="790"/>
      <c r="K171" s="1427" t="e">
        <f>+K170+L170</f>
        <v>#DIV/0!</v>
      </c>
      <c r="L171" s="1427"/>
      <c r="M171" s="790"/>
      <c r="N171" s="790"/>
      <c r="O171" s="1427" t="e">
        <f>+O170+P170</f>
        <v>#DIV/0!</v>
      </c>
      <c r="P171" s="1427"/>
    </row>
    <row r="172" spans="3:19" x14ac:dyDescent="0.25">
      <c r="C172" s="792"/>
      <c r="D172" s="793"/>
      <c r="E172" s="793"/>
      <c r="F172" s="786" t="s">
        <v>40</v>
      </c>
      <c r="G172" s="793"/>
      <c r="H172" s="793"/>
      <c r="I172" s="793"/>
      <c r="J172" s="793"/>
      <c r="K172" s="787" t="e">
        <f>+K170*$N172</f>
        <v>#DIV/0!</v>
      </c>
      <c r="L172" s="787"/>
      <c r="M172" s="793"/>
      <c r="N172" s="914">
        <v>0.08</v>
      </c>
      <c r="O172" s="920" t="e">
        <f>+O170*$N172</f>
        <v>#DIV/0!</v>
      </c>
      <c r="P172" s="920"/>
    </row>
    <row r="173" spans="3:19" x14ac:dyDescent="0.25">
      <c r="C173" s="792"/>
      <c r="D173" s="793"/>
      <c r="E173" s="793"/>
      <c r="F173" s="786" t="s">
        <v>41</v>
      </c>
      <c r="G173" s="793"/>
      <c r="H173" s="793"/>
      <c r="I173" s="793"/>
      <c r="J173" s="793"/>
      <c r="K173" s="787"/>
      <c r="L173" s="787">
        <f>+L170*$N173</f>
        <v>0</v>
      </c>
      <c r="M173" s="793"/>
      <c r="N173" s="914">
        <v>0.02</v>
      </c>
      <c r="O173" s="920"/>
      <c r="P173" s="920">
        <f>+P170*$N173</f>
        <v>8542869.9974421114</v>
      </c>
    </row>
    <row r="174" spans="3:19" x14ac:dyDescent="0.25">
      <c r="C174" s="789"/>
      <c r="D174" s="790"/>
      <c r="E174" s="790"/>
      <c r="F174" s="791" t="s">
        <v>26</v>
      </c>
      <c r="G174" s="790"/>
      <c r="H174" s="790"/>
      <c r="I174" s="790"/>
      <c r="J174" s="790"/>
      <c r="K174" s="1427" t="e">
        <f>+L173+K172</f>
        <v>#DIV/0!</v>
      </c>
      <c r="L174" s="1427"/>
      <c r="M174" s="790"/>
      <c r="N174" s="790"/>
      <c r="O174" s="1427" t="e">
        <f>+P173+O172</f>
        <v>#DIV/0!</v>
      </c>
      <c r="P174" s="1427"/>
    </row>
    <row r="175" spans="3:19" x14ac:dyDescent="0.25">
      <c r="C175" s="792"/>
      <c r="D175" s="793"/>
      <c r="E175" s="793"/>
      <c r="F175" s="794"/>
      <c r="G175" s="793"/>
      <c r="H175" s="793"/>
      <c r="I175" s="793"/>
      <c r="J175" s="793"/>
      <c r="K175" s="788" t="e">
        <f>+K172+K170</f>
        <v>#DIV/0!</v>
      </c>
      <c r="L175" s="788">
        <f>+L173+L170</f>
        <v>0</v>
      </c>
      <c r="M175" s="793"/>
      <c r="N175" s="914"/>
      <c r="O175" s="961" t="e">
        <f>+O172+O170</f>
        <v>#DIV/0!</v>
      </c>
      <c r="P175" s="961">
        <f>+P173+P170</f>
        <v>435686369.86954767</v>
      </c>
    </row>
    <row r="176" spans="3:19" x14ac:dyDescent="0.25">
      <c r="C176" s="789"/>
      <c r="D176" s="790"/>
      <c r="E176" s="790"/>
      <c r="F176" s="795" t="s">
        <v>27</v>
      </c>
      <c r="G176" s="790"/>
      <c r="H176" s="790"/>
      <c r="I176" s="790"/>
      <c r="J176" s="790"/>
      <c r="K176" s="1427" t="e">
        <f>+K175+L175</f>
        <v>#DIV/0!</v>
      </c>
      <c r="L176" s="1427"/>
      <c r="M176" s="790"/>
      <c r="N176" s="790"/>
      <c r="O176" s="1427" t="e">
        <f>+O175+P175</f>
        <v>#DIV/0!</v>
      </c>
      <c r="P176" s="1427"/>
    </row>
    <row r="177" spans="3:16" x14ac:dyDescent="0.25">
      <c r="C177" s="792"/>
      <c r="D177" s="793"/>
      <c r="E177" s="793"/>
      <c r="F177" s="786" t="s">
        <v>28</v>
      </c>
      <c r="G177" s="793"/>
      <c r="H177" s="793"/>
      <c r="I177" s="793"/>
      <c r="J177" s="793"/>
      <c r="K177" s="787" t="e">
        <f>+K175*$N177/(1-$N177)</f>
        <v>#DIV/0!</v>
      </c>
      <c r="L177" s="787"/>
      <c r="M177" s="793"/>
      <c r="N177" s="914">
        <v>0.02</v>
      </c>
      <c r="O177" s="920" t="e">
        <f>+O175*$N177/(1-$N177)</f>
        <v>#DIV/0!</v>
      </c>
      <c r="P177" s="920"/>
    </row>
    <row r="178" spans="3:16" x14ac:dyDescent="0.25">
      <c r="C178" s="792"/>
      <c r="D178" s="793"/>
      <c r="E178" s="793"/>
      <c r="F178" s="786"/>
      <c r="G178" s="793"/>
      <c r="H178" s="793"/>
      <c r="I178" s="793"/>
      <c r="J178" s="793"/>
      <c r="K178" s="787"/>
      <c r="L178" s="787">
        <f>+L175*$N178/(1-$N178)</f>
        <v>0</v>
      </c>
      <c r="M178" s="793"/>
      <c r="N178" s="914">
        <v>0.02</v>
      </c>
      <c r="O178" s="920"/>
      <c r="P178" s="920">
        <f>+P175*$N178/(1-$N178)</f>
        <v>8891558.5687662791</v>
      </c>
    </row>
    <row r="179" spans="3:16" x14ac:dyDescent="0.25">
      <c r="C179" s="789"/>
      <c r="D179" s="790"/>
      <c r="E179" s="790"/>
      <c r="F179" s="791" t="s">
        <v>29</v>
      </c>
      <c r="G179" s="790"/>
      <c r="H179" s="790"/>
      <c r="I179" s="790"/>
      <c r="J179" s="790"/>
      <c r="K179" s="1427" t="e">
        <f>+K177+L178</f>
        <v>#DIV/0!</v>
      </c>
      <c r="L179" s="1427"/>
      <c r="M179" s="790"/>
      <c r="N179" s="790"/>
      <c r="O179" s="1427" t="e">
        <f>+O177+P178</f>
        <v>#DIV/0!</v>
      </c>
      <c r="P179" s="1427"/>
    </row>
    <row r="180" spans="3:16" x14ac:dyDescent="0.25">
      <c r="C180" s="792"/>
      <c r="D180" s="793"/>
      <c r="E180" s="793"/>
      <c r="F180" s="786" t="s">
        <v>30</v>
      </c>
      <c r="G180" s="793"/>
      <c r="H180" s="793"/>
      <c r="I180" s="793"/>
      <c r="J180" s="793"/>
      <c r="K180" s="788" t="e">
        <f>+K177+K175</f>
        <v>#DIV/0!</v>
      </c>
      <c r="L180" s="788">
        <f>+L178+L175</f>
        <v>0</v>
      </c>
      <c r="M180" s="793"/>
      <c r="N180" s="914"/>
      <c r="O180" s="961" t="e">
        <f>+O177+O175</f>
        <v>#DIV/0!</v>
      </c>
      <c r="P180" s="961">
        <f>+P178+P175</f>
        <v>444577928.43831396</v>
      </c>
    </row>
    <row r="181" spans="3:16" ht="15.75" thickBot="1" x14ac:dyDescent="0.3">
      <c r="C181" s="796"/>
      <c r="D181" s="797"/>
      <c r="E181" s="797"/>
      <c r="F181" s="798" t="s">
        <v>31</v>
      </c>
      <c r="G181" s="797"/>
      <c r="H181" s="797"/>
      <c r="I181" s="797"/>
      <c r="J181" s="797"/>
      <c r="K181" s="1429" t="e">
        <f>+K180+L180</f>
        <v>#DIV/0!</v>
      </c>
      <c r="L181" s="1429"/>
      <c r="M181" s="797"/>
      <c r="N181" s="915"/>
      <c r="O181" s="1429" t="e">
        <f>+O180+P180</f>
        <v>#DIV/0!</v>
      </c>
      <c r="P181" s="1429"/>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T181"/>
  <sheetViews>
    <sheetView topLeftCell="D1" workbookViewId="0">
      <selection activeCell="F20" sqref="F20"/>
    </sheetView>
  </sheetViews>
  <sheetFormatPr baseColWidth="10" defaultColWidth="9.140625" defaultRowHeight="15" x14ac:dyDescent="0.25"/>
  <cols>
    <col min="1" max="1" width="3.7109375" style="745" customWidth="1"/>
    <col min="2" max="2" width="11.28515625" style="745" hidden="1" customWidth="1"/>
    <col min="3" max="3" width="14.28515625" style="750" customWidth="1"/>
    <col min="4" max="4" width="9.28515625" style="777" customWidth="1"/>
    <col min="5" max="5" width="9.5703125" style="777" customWidth="1"/>
    <col min="6" max="6" width="51.28515625" style="777" customWidth="1"/>
    <col min="7" max="7" width="11" style="763" customWidth="1"/>
    <col min="8" max="11" width="14.5703125" style="777" hidden="1" customWidth="1"/>
    <col min="12" max="13" width="15.140625" style="777" hidden="1" customWidth="1"/>
    <col min="14" max="14" width="12.42578125" style="908" customWidth="1"/>
    <col min="15" max="15" width="17.7109375" style="908" customWidth="1"/>
    <col min="16" max="16" width="21" style="777" bestFit="1" customWidth="1"/>
    <col min="17" max="17" width="3.7109375" style="745" customWidth="1"/>
    <col min="18" max="18" width="21.7109375" style="745" customWidth="1"/>
    <col min="19" max="19" width="25.5703125" style="745" customWidth="1"/>
    <col min="20" max="20" width="24.7109375" style="745" customWidth="1"/>
    <col min="21" max="16384" width="9.140625" style="745"/>
  </cols>
  <sheetData>
    <row r="2" spans="2:20" x14ac:dyDescent="0.25">
      <c r="C2" s="1428" t="s">
        <v>372</v>
      </c>
      <c r="D2" s="1428"/>
      <c r="E2" s="1428"/>
      <c r="F2" s="1428"/>
      <c r="G2" s="1428"/>
      <c r="H2" s="1428"/>
      <c r="I2" s="1428"/>
      <c r="J2" s="1428"/>
      <c r="K2" s="1428"/>
      <c r="L2" s="1428"/>
      <c r="M2" s="1428"/>
      <c r="N2" s="1428"/>
      <c r="O2" s="1428"/>
      <c r="P2" s="1428"/>
    </row>
    <row r="3" spans="2:20" x14ac:dyDescent="0.25">
      <c r="C3" s="1428"/>
      <c r="D3" s="1428"/>
      <c r="E3" s="1428"/>
      <c r="F3" s="1428"/>
      <c r="G3" s="1428"/>
      <c r="H3" s="1428"/>
      <c r="I3" s="1428"/>
      <c r="J3" s="1428"/>
      <c r="K3" s="1428"/>
      <c r="L3" s="1428"/>
      <c r="M3" s="1428"/>
      <c r="N3" s="1428"/>
      <c r="O3" s="1428"/>
      <c r="P3" s="1428"/>
    </row>
    <row r="4" spans="2:20" x14ac:dyDescent="0.25">
      <c r="C4" s="746"/>
      <c r="D4" s="746"/>
      <c r="E4" s="746"/>
      <c r="F4" s="746" t="s">
        <v>472</v>
      </c>
      <c r="G4" s="799"/>
      <c r="H4" s="746"/>
      <c r="I4" s="746"/>
      <c r="J4" s="746"/>
      <c r="K4" s="746"/>
      <c r="L4" s="746"/>
      <c r="M4" s="746"/>
      <c r="N4" s="945"/>
      <c r="O4" s="945"/>
      <c r="P4" s="20"/>
    </row>
    <row r="6" spans="2:20" ht="15" customHeight="1" x14ac:dyDescent="0.25"/>
    <row r="7" spans="2:20" ht="36" customHeight="1" x14ac:dyDescent="0.25">
      <c r="C7" s="747" t="s">
        <v>53</v>
      </c>
      <c r="D7" s="747" t="s">
        <v>0</v>
      </c>
      <c r="E7" s="747" t="s">
        <v>43</v>
      </c>
      <c r="F7" s="747" t="s">
        <v>1</v>
      </c>
      <c r="G7" s="748" t="s">
        <v>2</v>
      </c>
      <c r="H7" s="748"/>
      <c r="I7" s="748"/>
      <c r="J7" s="748"/>
      <c r="K7" s="748"/>
      <c r="L7" s="748"/>
      <c r="M7" s="748"/>
      <c r="N7" s="927" t="s">
        <v>3</v>
      </c>
      <c r="O7" s="927" t="s">
        <v>4</v>
      </c>
      <c r="P7" s="922" t="s">
        <v>5</v>
      </c>
    </row>
    <row r="8" spans="2:20" x14ac:dyDescent="0.25">
      <c r="C8" s="846"/>
      <c r="D8" s="846"/>
      <c r="E8" s="846"/>
      <c r="F8" s="846"/>
      <c r="G8" s="846"/>
      <c r="H8" s="846"/>
      <c r="I8" s="846"/>
      <c r="J8" s="846"/>
      <c r="K8" s="846"/>
      <c r="L8" s="846"/>
      <c r="M8" s="846"/>
      <c r="N8" s="928"/>
      <c r="O8" s="928"/>
      <c r="P8" s="923"/>
    </row>
    <row r="9" spans="2:20" x14ac:dyDescent="0.25">
      <c r="C9" s="747"/>
      <c r="D9" s="747"/>
      <c r="E9" s="747"/>
      <c r="F9" s="749" t="s">
        <v>19</v>
      </c>
      <c r="G9" s="747"/>
      <c r="H9" s="747"/>
      <c r="I9" s="747"/>
      <c r="J9" s="747"/>
      <c r="K9" s="747"/>
      <c r="L9" s="747"/>
      <c r="M9" s="747"/>
      <c r="N9" s="929"/>
      <c r="O9" s="929"/>
      <c r="P9" s="924"/>
    </row>
    <row r="10" spans="2:20" x14ac:dyDescent="0.25">
      <c r="B10" s="750" t="str">
        <f>+'[3]1. Colector Principal'!C13</f>
        <v>Excavación manual en material común:</v>
      </c>
      <c r="C10" s="751"/>
      <c r="D10" s="751"/>
      <c r="E10" s="42">
        <v>1</v>
      </c>
      <c r="F10" s="45" t="s">
        <v>54</v>
      </c>
      <c r="G10" s="617"/>
      <c r="H10" s="44"/>
      <c r="I10" s="44"/>
      <c r="J10" s="44"/>
      <c r="K10" s="44"/>
      <c r="L10" s="44"/>
      <c r="M10" s="44"/>
      <c r="N10" s="39"/>
      <c r="O10" s="40" t="str">
        <f>IF(D10="","",VLOOKUP(D10,#REF!,7,0))</f>
        <v/>
      </c>
      <c r="P10" s="912" t="str">
        <f>IF(ISERROR(+N10*O10),"",+N10*O10)</f>
        <v/>
      </c>
    </row>
    <row r="11" spans="2:20" ht="40.5" customHeight="1" x14ac:dyDescent="0.25">
      <c r="B11" s="750" t="str">
        <f>+'[3]1. Colector Principal'!C14</f>
        <v>Seco, entre 0 m y 2 m de profundidad</v>
      </c>
      <c r="C11" s="752" t="e">
        <f>'FORMATO PROPUESTA ECONÓMICA'!#REF!</f>
        <v>#REF!</v>
      </c>
      <c r="D11" s="753"/>
      <c r="E11" s="634">
        <f>'5. Presup. Sector 4'!E11</f>
        <v>1.1000000000000001</v>
      </c>
      <c r="F11" s="638"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897">
        <f>1200*0.6</f>
        <v>720</v>
      </c>
      <c r="O11" s="629">
        <f>'FORMATO PROPUESTA ECONÓMICA'!E8</f>
        <v>0</v>
      </c>
      <c r="P11" s="911">
        <f>IF(ISERROR(+N11*O11),"",+N11*O11)</f>
        <v>0</v>
      </c>
      <c r="Q11" s="755"/>
      <c r="S11" s="1120"/>
    </row>
    <row r="12" spans="2:20" x14ac:dyDescent="0.25">
      <c r="B12" s="750" t="str">
        <f>+'[3]1. Colector Principal'!C15</f>
        <v>Seco, entre 2 m y 4 m de profundidad</v>
      </c>
      <c r="C12" s="752" t="e">
        <f>'FORMATO PROPUESTA ECONÓMICA'!#REF!</f>
        <v>#REF!</v>
      </c>
      <c r="D12" s="756"/>
      <c r="E12" s="634">
        <f>'5. Presup. Sector 4'!E12</f>
        <v>1.2</v>
      </c>
      <c r="F12" s="627" t="s">
        <v>56</v>
      </c>
      <c r="G12" s="622"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897">
        <f>+N11*0.1</f>
        <v>72</v>
      </c>
      <c r="O12" s="629">
        <f>'FORMATO PROPUESTA ECONÓMICA'!E9</f>
        <v>0</v>
      </c>
      <c r="P12" s="911">
        <f>IF(ISERROR(+N12*O12),"",+N12*O12)</f>
        <v>0</v>
      </c>
      <c r="Q12" s="755"/>
      <c r="S12" s="1120"/>
    </row>
    <row r="13" spans="2:20" x14ac:dyDescent="0.25">
      <c r="B13" s="750" t="str">
        <f>+'[3]1. Colector Principal'!C16</f>
        <v>Seco, mayor a 4 m de profundidad</v>
      </c>
      <c r="C13" s="752" t="e">
        <f>'FORMATO PROPUESTA ECONÓMICA'!#REF!</f>
        <v>#REF!</v>
      </c>
      <c r="D13" s="756"/>
      <c r="E13" s="634">
        <f>'5. Presup. Sector 4'!E13</f>
        <v>1.3</v>
      </c>
      <c r="F13" s="627" t="s">
        <v>57</v>
      </c>
      <c r="G13" s="622"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897">
        <v>80</v>
      </c>
      <c r="O13" s="629">
        <f>'FORMATO PROPUESTA ECONÓMICA'!E10</f>
        <v>0</v>
      </c>
      <c r="P13" s="911">
        <f>IF(ISERROR(+N13*O13),"",+N13*O13)</f>
        <v>0</v>
      </c>
      <c r="Q13" s="755"/>
      <c r="S13" s="1120"/>
    </row>
    <row r="14" spans="2:20" x14ac:dyDescent="0.25">
      <c r="B14" s="750" t="str">
        <f>+'[3]1. Colector Principal'!C17</f>
        <v>Húmedo , entre 0 m y 2 m de profundidad</v>
      </c>
      <c r="C14" s="752" t="e">
        <f>'FORMATO PROPUESTA ECONÓMICA'!#REF!</f>
        <v>#REF!</v>
      </c>
      <c r="D14" s="756"/>
      <c r="E14" s="634">
        <f>'5. Presup. Sector 4'!E14</f>
        <v>1.4</v>
      </c>
      <c r="F14" s="627" t="s">
        <v>58</v>
      </c>
      <c r="G14" s="622"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897">
        <f>+N13</f>
        <v>80</v>
      </c>
      <c r="O14" s="629">
        <f>'FORMATO PROPUESTA ECONÓMICA'!E11</f>
        <v>0</v>
      </c>
      <c r="P14" s="911">
        <f>IF(ISERROR(+N14*O14),"",+N14*O14)</f>
        <v>0</v>
      </c>
      <c r="Q14" s="755"/>
      <c r="S14" s="1120"/>
    </row>
    <row r="15" spans="2:20" x14ac:dyDescent="0.25">
      <c r="B15" s="750"/>
      <c r="C15" s="841"/>
      <c r="D15" s="758"/>
      <c r="E15" s="732">
        <f>'5. Presup. Sector 4'!E15</f>
        <v>2</v>
      </c>
      <c r="F15" s="574" t="s">
        <v>60</v>
      </c>
      <c r="G15" s="807"/>
      <c r="H15" s="39"/>
      <c r="I15" s="40"/>
      <c r="J15" s="41"/>
      <c r="K15" s="40"/>
      <c r="L15" s="40"/>
      <c r="M15" s="40"/>
      <c r="N15" s="962"/>
      <c r="O15" s="39"/>
      <c r="P15" s="912"/>
      <c r="Q15" s="755"/>
      <c r="R15" s="616"/>
      <c r="S15" s="1120"/>
      <c r="T15" s="745">
        <f>1.44*P15</f>
        <v>0</v>
      </c>
    </row>
    <row r="16" spans="2:20" x14ac:dyDescent="0.25">
      <c r="B16" s="750"/>
      <c r="C16" s="841"/>
      <c r="D16" s="758"/>
      <c r="E16" s="732">
        <f>'5. Presup. Sector 4'!E16</f>
        <v>2.1</v>
      </c>
      <c r="F16" s="574" t="s">
        <v>61</v>
      </c>
      <c r="G16" s="807"/>
      <c r="H16" s="39"/>
      <c r="I16" s="40"/>
      <c r="J16" s="41"/>
      <c r="K16" s="40"/>
      <c r="L16" s="40"/>
      <c r="M16" s="40"/>
      <c r="N16" s="962"/>
      <c r="O16" s="39"/>
      <c r="P16" s="912"/>
      <c r="Q16" s="755"/>
      <c r="R16" s="616"/>
      <c r="S16" s="1120"/>
    </row>
    <row r="17" spans="2:19" ht="30" x14ac:dyDescent="0.25">
      <c r="B17" s="750"/>
      <c r="C17" s="752" t="e">
        <f>'FORMATO PROPUESTA ECONÓMICA'!#REF!</f>
        <v>#REF!</v>
      </c>
      <c r="D17" s="756"/>
      <c r="E17" s="733">
        <f>'5. Presup. Sector 4'!E17</f>
        <v>2.2000000000000002</v>
      </c>
      <c r="F17" s="632" t="s">
        <v>62</v>
      </c>
      <c r="G17" s="622" t="s">
        <v>15</v>
      </c>
      <c r="H17" s="629"/>
      <c r="I17" s="630"/>
      <c r="J17" s="631"/>
      <c r="K17" s="630"/>
      <c r="L17" s="630"/>
      <c r="M17" s="630"/>
      <c r="N17" s="895">
        <f>(N36+N39)*0.6*1.1+((N65+N66)*0.4*0.5)</f>
        <v>3014.46</v>
      </c>
      <c r="O17" s="629">
        <f>'FORMATO PROPUESTA ECONÓMICA'!E14</f>
        <v>0</v>
      </c>
      <c r="P17" s="911">
        <f>IF(ISERROR(+N17*O17),"",+N17*O17)</f>
        <v>0</v>
      </c>
      <c r="Q17" s="755"/>
      <c r="R17" s="616"/>
      <c r="S17" s="1120"/>
    </row>
    <row r="18" spans="2:19" ht="45" hidden="1" x14ac:dyDescent="0.25">
      <c r="B18" s="750"/>
      <c r="C18" s="752" t="e">
        <f>'FORMATO PROPUESTA ECONÓMICA'!#REF!</f>
        <v>#REF!</v>
      </c>
      <c r="D18" s="756"/>
      <c r="E18" s="732">
        <f>'5. Presup. Sector 4'!E18</f>
        <v>2.2999999999999998</v>
      </c>
      <c r="F18" s="632" t="s">
        <v>431</v>
      </c>
      <c r="G18" s="622" t="s">
        <v>15</v>
      </c>
      <c r="H18" s="629"/>
      <c r="I18" s="630"/>
      <c r="J18" s="631"/>
      <c r="K18" s="630"/>
      <c r="L18" s="630"/>
      <c r="M18" s="630"/>
      <c r="N18" s="895"/>
      <c r="O18" s="629">
        <f>'FORMATO PROPUESTA ECONÓMICA'!E15</f>
        <v>0</v>
      </c>
      <c r="P18" s="911">
        <f>IF(ISERROR(+N18*O18),"",+N18*O18)</f>
        <v>0</v>
      </c>
      <c r="Q18" s="755"/>
      <c r="R18" s="616"/>
      <c r="S18" s="1120"/>
    </row>
    <row r="19" spans="2:19" ht="75" x14ac:dyDescent="0.25">
      <c r="B19" s="750" t="str">
        <f>+'[3]1. Colector Principal'!C22</f>
        <v>Entibados en madera</v>
      </c>
      <c r="C19" s="841" t="e">
        <f>'FORMATO PROPUESTA ECONÓMICA'!#REF!</f>
        <v>#REF!</v>
      </c>
      <c r="D19" s="758"/>
      <c r="E19" s="732">
        <f>'5. Presup. Sector 4'!E19</f>
        <v>3</v>
      </c>
      <c r="F19" s="43" t="s">
        <v>63</v>
      </c>
      <c r="G19" s="807" t="s">
        <v>15</v>
      </c>
      <c r="H19" s="39">
        <f>IF(ISERROR(VLOOKUP($D19,[4]Ppto!$A$3:$F$100,4,)),0,VLOOKUP($D19,[4]Ppto!$A$3:$F$100,4,))</f>
        <v>0</v>
      </c>
      <c r="I19" s="40">
        <f>IF(ISERROR(VLOOKUP($D19,[4]Ppto!$A$3:$F$100,5,)),0,VLOOKUP($D19,[4]Ppto!$A$3:$F$100,5,))</f>
        <v>0</v>
      </c>
      <c r="J19" s="41">
        <v>1</v>
      </c>
      <c r="K19" s="40" t="e">
        <f>+I19-#REF!</f>
        <v>#REF!</v>
      </c>
      <c r="L19" s="40">
        <f t="shared" si="0"/>
        <v>0</v>
      </c>
      <c r="M19" s="40">
        <f>+L19-P19</f>
        <v>0</v>
      </c>
      <c r="N19" s="962"/>
      <c r="O19" s="39"/>
      <c r="P19" s="912"/>
      <c r="Q19" s="755"/>
      <c r="R19" s="616"/>
      <c r="S19" s="1120"/>
    </row>
    <row r="20" spans="2:19" ht="30" x14ac:dyDescent="0.25">
      <c r="B20" s="750"/>
      <c r="C20" s="752" t="e">
        <f>'FORMATO PROPUESTA ECONÓMICA'!#REF!</f>
        <v>#REF!</v>
      </c>
      <c r="D20" s="756"/>
      <c r="E20" s="734">
        <f>'5. Presup. Sector 4'!E20</f>
        <v>3.1</v>
      </c>
      <c r="F20" s="633" t="s">
        <v>64</v>
      </c>
      <c r="G20" s="622" t="s">
        <v>15</v>
      </c>
      <c r="H20" s="629"/>
      <c r="I20" s="630"/>
      <c r="J20" s="631"/>
      <c r="K20" s="630"/>
      <c r="L20" s="630"/>
      <c r="M20" s="630"/>
      <c r="N20" s="897">
        <f>N17*0.2</f>
        <v>602.89200000000005</v>
      </c>
      <c r="O20" s="629">
        <f>'FORMATO PROPUESTA ECONÓMICA'!E18</f>
        <v>0</v>
      </c>
      <c r="P20" s="911">
        <f t="shared" ref="P20:P25" si="1">IF(ISERROR(+N20*O20),"",+N20*O20)</f>
        <v>0</v>
      </c>
      <c r="Q20" s="755"/>
      <c r="R20" s="616"/>
      <c r="S20" s="1120"/>
    </row>
    <row r="21" spans="2:19" ht="30" x14ac:dyDescent="0.25">
      <c r="B21" s="750"/>
      <c r="C21" s="752" t="e">
        <f>'FORMATO PROPUESTA ECONÓMICA'!#REF!</f>
        <v>#REF!</v>
      </c>
      <c r="D21" s="756"/>
      <c r="E21" s="734">
        <f>'5. Presup. Sector 4'!E21</f>
        <v>3.2</v>
      </c>
      <c r="F21" s="633" t="s">
        <v>65</v>
      </c>
      <c r="G21" s="622" t="s">
        <v>15</v>
      </c>
      <c r="H21" s="629"/>
      <c r="I21" s="630"/>
      <c r="J21" s="631"/>
      <c r="K21" s="630"/>
      <c r="L21" s="630"/>
      <c r="M21" s="630"/>
      <c r="N21" s="897">
        <f>N17*0.6-N24-N25</f>
        <v>1656.7659999999998</v>
      </c>
      <c r="O21" s="629">
        <f>'FORMATO PROPUESTA ECONÓMICA'!E19</f>
        <v>0</v>
      </c>
      <c r="P21" s="911">
        <f t="shared" si="1"/>
        <v>0</v>
      </c>
      <c r="Q21" s="755"/>
      <c r="R21" s="616"/>
      <c r="S21" s="1120"/>
    </row>
    <row r="22" spans="2:19" ht="30" x14ac:dyDescent="0.25">
      <c r="B22" s="750"/>
      <c r="C22" s="752" t="e">
        <f>'FORMATO PROPUESTA ECONÓMICA'!#REF!</f>
        <v>#REF!</v>
      </c>
      <c r="D22" s="756"/>
      <c r="E22" s="734">
        <f>'5. Presup. Sector 4'!E22</f>
        <v>3.3</v>
      </c>
      <c r="F22" s="633" t="s">
        <v>66</v>
      </c>
      <c r="G22" s="622" t="s">
        <v>15</v>
      </c>
      <c r="H22" s="629"/>
      <c r="I22" s="630"/>
      <c r="J22" s="631"/>
      <c r="K22" s="630"/>
      <c r="L22" s="630"/>
      <c r="M22" s="630"/>
      <c r="N22" s="897">
        <f>N17*0.2</f>
        <v>602.89200000000005</v>
      </c>
      <c r="O22" s="629">
        <f>'FORMATO PROPUESTA ECONÓMICA'!E20</f>
        <v>0</v>
      </c>
      <c r="P22" s="911">
        <f t="shared" si="1"/>
        <v>0</v>
      </c>
      <c r="Q22" s="755"/>
      <c r="R22" s="616"/>
      <c r="S22" s="1120"/>
    </row>
    <row r="23" spans="2:19" hidden="1" x14ac:dyDescent="0.25">
      <c r="B23" s="750"/>
      <c r="C23" s="752" t="e">
        <f>'FORMATO PROPUESTA ECONÓMICA'!#REF!</f>
        <v>#REF!</v>
      </c>
      <c r="D23" s="753"/>
      <c r="E23" s="734">
        <f>'5. Presup. Sector 4'!E23</f>
        <v>3.4</v>
      </c>
      <c r="F23" s="633" t="s">
        <v>67</v>
      </c>
      <c r="G23" s="622"/>
      <c r="H23" s="629"/>
      <c r="I23" s="630"/>
      <c r="J23" s="631"/>
      <c r="K23" s="630"/>
      <c r="L23" s="630"/>
      <c r="M23" s="630"/>
      <c r="N23" s="963"/>
      <c r="O23" s="629">
        <f>'FORMATO PROPUESTA ECONÓMICA'!E21</f>
        <v>0</v>
      </c>
      <c r="P23" s="911">
        <f t="shared" si="1"/>
        <v>0</v>
      </c>
      <c r="Q23" s="755"/>
      <c r="R23" s="616"/>
      <c r="S23" s="1120"/>
    </row>
    <row r="24" spans="2:19" ht="30" x14ac:dyDescent="0.25">
      <c r="B24" s="750"/>
      <c r="C24" s="752" t="e">
        <f>'FORMATO PROPUESTA ECONÓMICA'!#REF!</f>
        <v>#REF!</v>
      </c>
      <c r="D24" s="756"/>
      <c r="E24" s="734">
        <f>'5. Presup. Sector 4'!E24</f>
        <v>3.5</v>
      </c>
      <c r="F24" s="633" t="s">
        <v>68</v>
      </c>
      <c r="G24" s="622" t="s">
        <v>15</v>
      </c>
      <c r="H24" s="629"/>
      <c r="I24" s="630"/>
      <c r="J24" s="631"/>
      <c r="K24" s="630"/>
      <c r="L24" s="630"/>
      <c r="M24" s="630"/>
      <c r="N24" s="963">
        <f>N110</f>
        <v>97.610000000000014</v>
      </c>
      <c r="O24" s="629">
        <f>'FORMATO PROPUESTA ECONÓMICA'!E22</f>
        <v>0</v>
      </c>
      <c r="P24" s="911">
        <f t="shared" si="1"/>
        <v>0</v>
      </c>
      <c r="Q24" s="755"/>
      <c r="R24" s="616"/>
      <c r="S24" s="1120"/>
    </row>
    <row r="25" spans="2:19" x14ac:dyDescent="0.25">
      <c r="B25" s="750"/>
      <c r="C25" s="752" t="e">
        <f>'FORMATO PROPUESTA ECONÓMICA'!#REF!</f>
        <v>#REF!</v>
      </c>
      <c r="D25" s="756"/>
      <c r="E25" s="734">
        <f>'5. Presup. Sector 4'!E25</f>
        <v>3.6</v>
      </c>
      <c r="F25" s="633" t="s">
        <v>441</v>
      </c>
      <c r="G25" s="622" t="s">
        <v>15</v>
      </c>
      <c r="H25" s="629"/>
      <c r="I25" s="630"/>
      <c r="J25" s="631"/>
      <c r="K25" s="630"/>
      <c r="L25" s="630"/>
      <c r="M25" s="630"/>
      <c r="N25" s="963">
        <f>(N39)*0.6*0.1</f>
        <v>54.300000000000004</v>
      </c>
      <c r="O25" s="629">
        <f>'FORMATO PROPUESTA ECONÓMICA'!E23</f>
        <v>0</v>
      </c>
      <c r="P25" s="911">
        <f t="shared" si="1"/>
        <v>0</v>
      </c>
      <c r="Q25" s="755"/>
      <c r="R25" s="616"/>
      <c r="S25" s="1120"/>
    </row>
    <row r="26" spans="2:19" x14ac:dyDescent="0.25">
      <c r="B26" s="750" t="str">
        <f>+'[3]1. Colector Principal'!C25</f>
        <v>Lleno y apisonado de zanjas y apiques con</v>
      </c>
      <c r="C26" s="841" t="e">
        <f>'FORMATO PROPUESTA ECONÓMICA'!#REF!</f>
        <v>#REF!</v>
      </c>
      <c r="D26" s="758"/>
      <c r="E26" s="732">
        <f>'5. Presup. Sector 4'!E26</f>
        <v>4</v>
      </c>
      <c r="F26" s="43" t="s">
        <v>69</v>
      </c>
      <c r="G26" s="807"/>
      <c r="H26" s="39">
        <f>IF(ISERROR(VLOOKUP($D26,[4]Ppto!$A$3:$F$100,4,)),0,VLOOKUP($D26,[4]Ppto!$A$3:$F$100,4,))</f>
        <v>0</v>
      </c>
      <c r="I26" s="40">
        <f>IF(ISERROR(VLOOKUP($D26,[4]Ppto!$A$3:$F$100,5,)),0,VLOOKUP($D26,[4]Ppto!$A$3:$F$100,5,))</f>
        <v>0</v>
      </c>
      <c r="J26" s="41">
        <v>1</v>
      </c>
      <c r="K26" s="40">
        <f>+I26-O27</f>
        <v>0</v>
      </c>
      <c r="L26" s="40">
        <f t="shared" si="0"/>
        <v>0</v>
      </c>
      <c r="M26" s="40">
        <f>+L26-P26</f>
        <v>0</v>
      </c>
      <c r="N26" s="971"/>
      <c r="O26" s="39"/>
      <c r="P26" s="912"/>
      <c r="Q26" s="755"/>
      <c r="R26" s="616"/>
      <c r="S26" s="1120"/>
    </row>
    <row r="27" spans="2:19" ht="30" x14ac:dyDescent="0.25">
      <c r="B27" s="750" t="str">
        <f>+'[3]1. Colector Principal'!C26</f>
        <v>Material selecto de la excavación</v>
      </c>
      <c r="C27" s="752" t="e">
        <f>'FORMATO PROPUESTA ECONÓMICA'!#REF!</f>
        <v>#REF!</v>
      </c>
      <c r="D27" s="756"/>
      <c r="E27" s="734">
        <f>'5. Presup. Sector 4'!E27</f>
        <v>4.0999999999999996</v>
      </c>
      <c r="F27" s="633" t="s">
        <v>70</v>
      </c>
      <c r="G27" s="622"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895">
        <f>(N21+N22+N24+N25)</f>
        <v>2411.5680000000002</v>
      </c>
      <c r="O27" s="629">
        <f>'FORMATO PROPUESTA ECONÓMICA'!E25</f>
        <v>0</v>
      </c>
      <c r="P27" s="911">
        <f>IF(ISERROR(+N27*O27),"",+N27*O27)</f>
        <v>0</v>
      </c>
      <c r="Q27" s="755"/>
      <c r="R27" s="616"/>
      <c r="S27" s="1120"/>
    </row>
    <row r="28" spans="2:19" ht="42.75" customHeight="1" x14ac:dyDescent="0.25">
      <c r="B28" s="750" t="str">
        <f>+'[3]1. Colector Principal'!C28</f>
        <v>Cargue, retiro y botada de material sobrante</v>
      </c>
      <c r="C28" s="841" t="e">
        <f>'FORMATO PROPUESTA ECONÓMICA'!#REF!</f>
        <v>#REF!</v>
      </c>
      <c r="D28" s="758"/>
      <c r="E28" s="732">
        <f>'5. Presup. Sector 4'!E28</f>
        <v>5</v>
      </c>
      <c r="F28" s="43" t="s">
        <v>71</v>
      </c>
      <c r="G28" s="807"/>
      <c r="H28" s="39">
        <f>IF(ISERROR(VLOOKUP($D28,[4]Ppto!$A$3:$F$100,4,)),0,VLOOKUP($D28,[4]Ppto!$A$3:$F$100,4,))</f>
        <v>0</v>
      </c>
      <c r="I28" s="40">
        <f>IF(ISERROR(VLOOKUP($D28,[4]Ppto!$A$3:$F$100,5,)),0,VLOOKUP($D28,[4]Ppto!$A$3:$F$100,5,))</f>
        <v>0</v>
      </c>
      <c r="J28" s="41">
        <v>1</v>
      </c>
      <c r="K28" s="40">
        <f>+I28-O28</f>
        <v>0</v>
      </c>
      <c r="L28" s="40">
        <f t="shared" si="0"/>
        <v>0</v>
      </c>
      <c r="M28" s="40">
        <f>+L28-P28</f>
        <v>0</v>
      </c>
      <c r="N28" s="962"/>
      <c r="O28" s="39"/>
      <c r="P28" s="912"/>
      <c r="Q28" s="755"/>
      <c r="R28" s="616"/>
      <c r="S28" s="1120"/>
    </row>
    <row r="29" spans="2:19" ht="30" x14ac:dyDescent="0.25">
      <c r="B29" s="750" t="str">
        <f>+'[3]1. Colector Principal'!C29</f>
        <v>Retiro y disposición final de material sobrante a cualquier distancia</v>
      </c>
      <c r="C29" s="752" t="e">
        <f>'FORMATO PROPUESTA ECONÓMICA'!#REF!</f>
        <v>#REF!</v>
      </c>
      <c r="D29" s="756"/>
      <c r="E29" s="734">
        <f>'5. Presup. Sector 4'!E29</f>
        <v>5.0999999999999996</v>
      </c>
      <c r="F29" s="633" t="s">
        <v>72</v>
      </c>
      <c r="G29" s="622"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895">
        <f>+N11</f>
        <v>720</v>
      </c>
      <c r="O29" s="629">
        <f>'FORMATO PROPUESTA ECONÓMICA'!E27</f>
        <v>0</v>
      </c>
      <c r="P29" s="911">
        <f>IF(ISERROR(+N29*O29),"",+N29*O29)</f>
        <v>0</v>
      </c>
      <c r="Q29" s="755"/>
      <c r="R29" s="616"/>
      <c r="S29" s="1120"/>
    </row>
    <row r="30" spans="2:19" ht="30" x14ac:dyDescent="0.25">
      <c r="B30" s="750"/>
      <c r="C30" s="752" t="e">
        <f>'FORMATO PROPUESTA ECONÓMICA'!#REF!</f>
        <v>#REF!</v>
      </c>
      <c r="D30" s="756"/>
      <c r="E30" s="734">
        <f>'5. Presup. Sector 4'!E30</f>
        <v>5.2</v>
      </c>
      <c r="F30" s="633" t="s">
        <v>74</v>
      </c>
      <c r="G30" s="622" t="s">
        <v>73</v>
      </c>
      <c r="H30" s="629"/>
      <c r="I30" s="630"/>
      <c r="J30" s="631"/>
      <c r="K30" s="630"/>
      <c r="L30" s="630"/>
      <c r="M30" s="630"/>
      <c r="N30" s="895">
        <f>+N12</f>
        <v>72</v>
      </c>
      <c r="O30" s="629">
        <f>'FORMATO PROPUESTA ECONÓMICA'!E28</f>
        <v>0</v>
      </c>
      <c r="P30" s="911">
        <f>IF(ISERROR(+N30*O30),"",+N30*O30)</f>
        <v>0</v>
      </c>
      <c r="Q30" s="755"/>
      <c r="R30" s="616"/>
      <c r="S30" s="1120"/>
    </row>
    <row r="31" spans="2:19" ht="45" x14ac:dyDescent="0.25">
      <c r="B31" s="750"/>
      <c r="C31" s="752" t="e">
        <f>'FORMATO PROPUESTA ECONÓMICA'!#REF!</f>
        <v>#REF!</v>
      </c>
      <c r="D31" s="756"/>
      <c r="E31" s="734">
        <f>'5. Presup. Sector 4'!E31</f>
        <v>5.3</v>
      </c>
      <c r="F31" s="633" t="s">
        <v>75</v>
      </c>
      <c r="G31" s="622" t="s">
        <v>7</v>
      </c>
      <c r="H31" s="629"/>
      <c r="I31" s="630"/>
      <c r="J31" s="631"/>
      <c r="K31" s="630"/>
      <c r="L31" s="630"/>
      <c r="M31" s="630"/>
      <c r="N31" s="895">
        <f>+N13</f>
        <v>80</v>
      </c>
      <c r="O31" s="629">
        <f>'FORMATO PROPUESTA ECONÓMICA'!E29</f>
        <v>0</v>
      </c>
      <c r="P31" s="911">
        <f>IF(ISERROR(+N31*O31),"",+N31*O31)</f>
        <v>0</v>
      </c>
      <c r="Q31" s="755"/>
      <c r="R31" s="616"/>
      <c r="S31" s="1120"/>
    </row>
    <row r="32" spans="2:19" ht="45" x14ac:dyDescent="0.25">
      <c r="B32" s="750"/>
      <c r="C32" s="752" t="e">
        <f>'FORMATO PROPUESTA ECONÓMICA'!#REF!</f>
        <v>#REF!</v>
      </c>
      <c r="D32" s="756"/>
      <c r="E32" s="734">
        <f>'5. Presup. Sector 4'!E32</f>
        <v>5.4</v>
      </c>
      <c r="F32" s="633" t="s">
        <v>76</v>
      </c>
      <c r="G32" s="622" t="s">
        <v>7</v>
      </c>
      <c r="H32" s="629"/>
      <c r="I32" s="630"/>
      <c r="J32" s="631"/>
      <c r="K32" s="630"/>
      <c r="L32" s="630"/>
      <c r="M32" s="630"/>
      <c r="N32" s="895">
        <f>+N14</f>
        <v>80</v>
      </c>
      <c r="O32" s="629">
        <f>'FORMATO PROPUESTA ECONÓMICA'!E30</f>
        <v>0</v>
      </c>
      <c r="P32" s="911">
        <f>IF(ISERROR(+N32*O32),"",+N32*O32)</f>
        <v>0</v>
      </c>
      <c r="Q32" s="755"/>
      <c r="R32" s="616"/>
      <c r="S32" s="1120"/>
    </row>
    <row r="33" spans="2:19" x14ac:dyDescent="0.25">
      <c r="B33" s="750"/>
      <c r="C33" s="752" t="e">
        <f>'FORMATO PROPUESTA ECONÓMICA'!#REF!</f>
        <v>#REF!</v>
      </c>
      <c r="D33" s="756"/>
      <c r="E33" s="734">
        <f>'5. Presup. Sector 4'!E33</f>
        <v>5.5</v>
      </c>
      <c r="F33" s="633" t="s">
        <v>77</v>
      </c>
      <c r="G33" s="622" t="s">
        <v>16</v>
      </c>
      <c r="H33" s="629"/>
      <c r="I33" s="630"/>
      <c r="J33" s="631"/>
      <c r="K33" s="630"/>
      <c r="L33" s="630"/>
      <c r="M33" s="630"/>
      <c r="N33" s="895">
        <f>400*1</f>
        <v>400</v>
      </c>
      <c r="O33" s="629">
        <f>'FORMATO PROPUESTA ECONÓMICA'!E31</f>
        <v>0</v>
      </c>
      <c r="P33" s="911">
        <f>IF(ISERROR(+N33*O33),"",+N33*O33)</f>
        <v>0</v>
      </c>
      <c r="Q33" s="755"/>
      <c r="R33" s="616"/>
      <c r="S33" s="1120"/>
    </row>
    <row r="34" spans="2:19" x14ac:dyDescent="0.25">
      <c r="B34" s="750" t="str">
        <f>+'[3]1. Colector Principal'!C30</f>
        <v>Construcción de Cámara de inspección de concreto de 21 MPa vaciadas en el sitio</v>
      </c>
      <c r="C34" s="841" t="e">
        <f>'FORMATO PROPUESTA ECONÓMICA'!#REF!</f>
        <v>#REF!</v>
      </c>
      <c r="D34" s="758"/>
      <c r="E34" s="732">
        <f>'5. Presup. Sector 4'!E34</f>
        <v>6</v>
      </c>
      <c r="F34" s="43" t="s">
        <v>78</v>
      </c>
      <c r="G34" s="807"/>
      <c r="H34" s="39">
        <f>IF(ISERROR(VLOOKUP($D34,[4]Ppto!$A$3:$F$100,4,)),0,VLOOKUP($D34,[4]Ppto!$A$3:$F$100,4,))</f>
        <v>0</v>
      </c>
      <c r="I34" s="40">
        <f>IF(ISERROR(VLOOKUP($D34,[4]Ppto!$A$3:$F$100,5,)),0,VLOOKUP($D34,[4]Ppto!$A$3:$F$100,5,))</f>
        <v>0</v>
      </c>
      <c r="J34" s="41">
        <v>1</v>
      </c>
      <c r="K34" s="40">
        <f>+I34-O35</f>
        <v>0</v>
      </c>
      <c r="L34" s="40">
        <f t="shared" si="0"/>
        <v>0</v>
      </c>
      <c r="M34" s="40">
        <f>+L34-P34</f>
        <v>0</v>
      </c>
      <c r="N34" s="962"/>
      <c r="O34" s="39"/>
      <c r="P34" s="912"/>
      <c r="Q34" s="755"/>
      <c r="R34" s="616"/>
      <c r="S34" s="1120"/>
    </row>
    <row r="35" spans="2:19" ht="30" hidden="1" x14ac:dyDescent="0.25">
      <c r="B35" s="750" t="str">
        <f>+'[3]1. Colector Principal'!C31</f>
        <v>Cilindro de la cámara 1.2m, concéntrica vaciada en situ</v>
      </c>
      <c r="C35" s="752" t="e">
        <f>'FORMATO PROPUESTA ECONÓMICA'!#REF!</f>
        <v>#REF!</v>
      </c>
      <c r="D35" s="756"/>
      <c r="E35" s="734">
        <f>'5. Presup. Sector 4'!E35</f>
        <v>6.1</v>
      </c>
      <c r="F35" s="633" t="s">
        <v>374</v>
      </c>
      <c r="G35" s="622"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963"/>
      <c r="O35" s="629">
        <f>'FORMATO PROPUESTA ECONÓMICA'!E33</f>
        <v>0</v>
      </c>
      <c r="P35" s="911">
        <f t="shared" ref="P35:P63" si="2">IF(ISERROR(+N35*O35),"",+N35*O35)</f>
        <v>0</v>
      </c>
      <c r="Q35" s="755"/>
      <c r="R35" s="616"/>
      <c r="S35" s="1120"/>
    </row>
    <row r="36" spans="2:19" ht="30" x14ac:dyDescent="0.25">
      <c r="B36" s="750" t="str">
        <f>+'[3]1. Colector Principal'!C32</f>
        <v>Cilindro de la cámara 1.5m, concéntrica vaciada en situ</v>
      </c>
      <c r="C36" s="752" t="e">
        <f>'FORMATO PROPUESTA ECONÓMICA'!#REF!</f>
        <v>#REF!</v>
      </c>
      <c r="D36" s="756"/>
      <c r="E36" s="734">
        <f>'5. Presup. Sector 4'!E36</f>
        <v>6.2</v>
      </c>
      <c r="F36" s="633" t="s">
        <v>375</v>
      </c>
      <c r="G36" s="622"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901">
        <v>3026</v>
      </c>
      <c r="O36" s="629">
        <f>'FORMATO PROPUESTA ECONÓMICA'!E34</f>
        <v>0</v>
      </c>
      <c r="P36" s="911">
        <f t="shared" si="2"/>
        <v>0</v>
      </c>
      <c r="Q36" s="755"/>
      <c r="R36" s="616"/>
      <c r="S36" s="1120"/>
    </row>
    <row r="37" spans="2:19" ht="30" hidden="1" x14ac:dyDescent="0.25">
      <c r="B37" s="750"/>
      <c r="C37" s="752" t="e">
        <f>'FORMATO PROPUESTA ECONÓMICA'!#REF!</f>
        <v>#REF!</v>
      </c>
      <c r="D37" s="756"/>
      <c r="E37" s="734">
        <f>'5. Presup. Sector 4'!E37</f>
        <v>6.3</v>
      </c>
      <c r="F37" s="633" t="s">
        <v>376</v>
      </c>
      <c r="G37" s="622" t="s">
        <v>59</v>
      </c>
      <c r="H37" s="629"/>
      <c r="I37" s="630"/>
      <c r="J37" s="631"/>
      <c r="K37" s="630"/>
      <c r="L37" s="630"/>
      <c r="M37" s="630"/>
      <c r="N37" s="901"/>
      <c r="O37" s="629">
        <f>'FORMATO PROPUESTA ECONÓMICA'!E35</f>
        <v>0</v>
      </c>
      <c r="P37" s="911">
        <f t="shared" si="2"/>
        <v>0</v>
      </c>
      <c r="Q37" s="755"/>
      <c r="R37" s="616"/>
      <c r="S37" s="1120"/>
    </row>
    <row r="38" spans="2:19" ht="30" hidden="1" x14ac:dyDescent="0.25">
      <c r="B38" s="750"/>
      <c r="C38" s="752" t="e">
        <f>'FORMATO PROPUESTA ECONÓMICA'!#REF!</f>
        <v>#REF!</v>
      </c>
      <c r="D38" s="756"/>
      <c r="E38" s="734">
        <f>'5. Presup. Sector 4'!E38</f>
        <v>6.4</v>
      </c>
      <c r="F38" s="633" t="s">
        <v>377</v>
      </c>
      <c r="G38" s="622" t="s">
        <v>59</v>
      </c>
      <c r="H38" s="629"/>
      <c r="I38" s="630"/>
      <c r="J38" s="631"/>
      <c r="K38" s="630"/>
      <c r="L38" s="630"/>
      <c r="M38" s="630"/>
      <c r="N38" s="901"/>
      <c r="O38" s="629">
        <f>'FORMATO PROPUESTA ECONÓMICA'!E36</f>
        <v>0</v>
      </c>
      <c r="P38" s="911">
        <f t="shared" si="2"/>
        <v>0</v>
      </c>
      <c r="Q38" s="755"/>
      <c r="R38" s="616"/>
      <c r="S38" s="1120"/>
    </row>
    <row r="39" spans="2:19" ht="30" x14ac:dyDescent="0.25">
      <c r="B39" s="750" t="str">
        <f>+'[3]1. Colector Principal'!C33</f>
        <v xml:space="preserve"> Base y Cañuela pozo de inspección para tuberías entre 8" a 24" (concreto f´c= 28MPa elab. en obra)</v>
      </c>
      <c r="C39" s="752" t="e">
        <f>'FORMATO PROPUESTA ECONÓMICA'!#REF!</f>
        <v>#REF!</v>
      </c>
      <c r="D39" s="756"/>
      <c r="E39" s="734">
        <f>'5. Presup. Sector 4'!E39</f>
        <v>6.5</v>
      </c>
      <c r="F39" s="633" t="s">
        <v>378</v>
      </c>
      <c r="G39" s="622" t="s">
        <v>59</v>
      </c>
      <c r="H39" s="629">
        <f>IF(ISERROR(VLOOKUP($D39,[4]Ppto!$A$3:$F$100,4,)),0,VLOOKUP($D39,[4]Ppto!$A$3:$F$100,4,))</f>
        <v>0</v>
      </c>
      <c r="I39" s="630">
        <f>IF(ISERROR(VLOOKUP($D39,[4]Ppto!$A$3:$F$100,5,)),0,VLOOKUP($D39,[4]Ppto!$A$3:$F$100,5,))</f>
        <v>0</v>
      </c>
      <c r="J39" s="631">
        <v>1</v>
      </c>
      <c r="K39" s="630">
        <f>+I39-O39</f>
        <v>0</v>
      </c>
      <c r="L39" s="630">
        <f t="shared" si="0"/>
        <v>0</v>
      </c>
      <c r="M39" s="630">
        <f>+L39-P39</f>
        <v>0</v>
      </c>
      <c r="N39" s="901">
        <v>905</v>
      </c>
      <c r="O39" s="629">
        <f>'FORMATO PROPUESTA ECONÓMICA'!E37</f>
        <v>0</v>
      </c>
      <c r="P39" s="911">
        <f t="shared" si="2"/>
        <v>0</v>
      </c>
      <c r="Q39" s="755"/>
      <c r="R39" s="616"/>
      <c r="S39" s="1120"/>
    </row>
    <row r="40" spans="2:19" ht="22.5" hidden="1" customHeight="1" x14ac:dyDescent="0.25">
      <c r="B40" s="750"/>
      <c r="C40" s="752" t="e">
        <f>'FORMATO PROPUESTA ECONÓMICA'!#REF!</f>
        <v>#REF!</v>
      </c>
      <c r="D40" s="756"/>
      <c r="E40" s="734">
        <f>'5. Presup. Sector 4'!E40</f>
        <v>6.6</v>
      </c>
      <c r="F40" s="633" t="s">
        <v>382</v>
      </c>
      <c r="G40" s="622" t="s">
        <v>79</v>
      </c>
      <c r="H40" s="629"/>
      <c r="I40" s="630"/>
      <c r="J40" s="631"/>
      <c r="K40" s="630"/>
      <c r="L40" s="630"/>
      <c r="M40" s="630"/>
      <c r="N40" s="901"/>
      <c r="O40" s="629">
        <f>'FORMATO PROPUESTA ECONÓMICA'!E38</f>
        <v>0</v>
      </c>
      <c r="P40" s="911">
        <f t="shared" si="2"/>
        <v>0</v>
      </c>
      <c r="Q40" s="755"/>
      <c r="R40" s="616"/>
      <c r="S40" s="1120"/>
    </row>
    <row r="41" spans="2:19" ht="21.75" customHeight="1" x14ac:dyDescent="0.25">
      <c r="B41" s="750"/>
      <c r="C41" s="752" t="e">
        <f>'FORMATO PROPUESTA ECONÓMICA'!#REF!</f>
        <v>#REF!</v>
      </c>
      <c r="D41" s="756"/>
      <c r="E41" s="734">
        <f>'5. Presup. Sector 4'!E41</f>
        <v>6.7</v>
      </c>
      <c r="F41" s="633" t="s">
        <v>381</v>
      </c>
      <c r="G41" s="622" t="s">
        <v>79</v>
      </c>
      <c r="H41" s="629"/>
      <c r="I41" s="630"/>
      <c r="J41" s="631"/>
      <c r="K41" s="630"/>
      <c r="L41" s="630"/>
      <c r="M41" s="630"/>
      <c r="N41" s="901">
        <v>29</v>
      </c>
      <c r="O41" s="629">
        <f>'FORMATO PROPUESTA ECONÓMICA'!E39</f>
        <v>0</v>
      </c>
      <c r="P41" s="911">
        <f t="shared" si="2"/>
        <v>0</v>
      </c>
      <c r="Q41" s="755"/>
      <c r="R41" s="616"/>
      <c r="S41" s="1120"/>
    </row>
    <row r="42" spans="2:19" ht="17.25" customHeight="1" x14ac:dyDescent="0.25">
      <c r="B42" s="750"/>
      <c r="C42" s="752" t="e">
        <f>'FORMATO PROPUESTA ECONÓMICA'!#REF!</f>
        <v>#REF!</v>
      </c>
      <c r="D42" s="756"/>
      <c r="E42" s="734">
        <f>'5. Presup. Sector 4'!E42</f>
        <v>6.8</v>
      </c>
      <c r="F42" s="633" t="s">
        <v>383</v>
      </c>
      <c r="G42" s="622" t="s">
        <v>79</v>
      </c>
      <c r="H42" s="629"/>
      <c r="I42" s="630"/>
      <c r="J42" s="631"/>
      <c r="K42" s="630"/>
      <c r="L42" s="630"/>
      <c r="M42" s="630"/>
      <c r="N42" s="901">
        <v>6</v>
      </c>
      <c r="O42" s="629">
        <f>'FORMATO PROPUESTA ECONÓMICA'!E40</f>
        <v>0</v>
      </c>
      <c r="P42" s="911">
        <f t="shared" si="2"/>
        <v>0</v>
      </c>
      <c r="Q42" s="755"/>
      <c r="R42" s="616"/>
      <c r="S42" s="1120"/>
    </row>
    <row r="43" spans="2:19" ht="16.5" hidden="1" customHeight="1" x14ac:dyDescent="0.25">
      <c r="B43" s="750"/>
      <c r="C43" s="752" t="e">
        <f>'FORMATO PROPUESTA ECONÓMICA'!#REF!</f>
        <v>#REF!</v>
      </c>
      <c r="D43" s="756"/>
      <c r="E43" s="734">
        <f>'5. Presup. Sector 4'!E43</f>
        <v>6.9</v>
      </c>
      <c r="F43" s="633" t="s">
        <v>384</v>
      </c>
      <c r="G43" s="622" t="s">
        <v>79</v>
      </c>
      <c r="H43" s="629"/>
      <c r="I43" s="630"/>
      <c r="J43" s="631"/>
      <c r="K43" s="630"/>
      <c r="L43" s="630"/>
      <c r="M43" s="630"/>
      <c r="N43" s="901"/>
      <c r="O43" s="629">
        <f>'FORMATO PROPUESTA ECONÓMICA'!E41</f>
        <v>0</v>
      </c>
      <c r="P43" s="911">
        <f t="shared" si="2"/>
        <v>0</v>
      </c>
      <c r="Q43" s="755"/>
      <c r="R43" s="616"/>
      <c r="S43" s="1120"/>
    </row>
    <row r="44" spans="2:19" ht="12.75" customHeight="1" x14ac:dyDescent="0.25">
      <c r="B44" s="750"/>
      <c r="C44" s="752" t="e">
        <f>'FORMATO PROPUESTA ECONÓMICA'!#REF!</f>
        <v>#REF!</v>
      </c>
      <c r="D44" s="756"/>
      <c r="E44" s="720">
        <f>'5. Presup. Sector 4'!E44</f>
        <v>6.1</v>
      </c>
      <c r="F44" s="633" t="s">
        <v>385</v>
      </c>
      <c r="G44" s="622" t="s">
        <v>79</v>
      </c>
      <c r="H44" s="629"/>
      <c r="I44" s="630"/>
      <c r="J44" s="631"/>
      <c r="K44" s="630"/>
      <c r="L44" s="630"/>
      <c r="M44" s="630"/>
      <c r="N44" s="901">
        <v>2</v>
      </c>
      <c r="O44" s="629">
        <f>'FORMATO PROPUESTA ECONÓMICA'!E42</f>
        <v>0</v>
      </c>
      <c r="P44" s="911">
        <f t="shared" si="2"/>
        <v>0</v>
      </c>
      <c r="Q44" s="755"/>
      <c r="R44" s="616"/>
      <c r="S44" s="1120"/>
    </row>
    <row r="45" spans="2:19" ht="18" hidden="1" customHeight="1" x14ac:dyDescent="0.25">
      <c r="B45" s="750"/>
      <c r="C45" s="752" t="e">
        <f>'FORMATO PROPUESTA ECONÓMICA'!#REF!</f>
        <v>#REF!</v>
      </c>
      <c r="D45" s="756"/>
      <c r="E45" s="720">
        <f>'5. Presup. Sector 4'!E45</f>
        <v>6.11</v>
      </c>
      <c r="F45" s="633" t="s">
        <v>386</v>
      </c>
      <c r="G45" s="622" t="s">
        <v>79</v>
      </c>
      <c r="H45" s="629"/>
      <c r="I45" s="630"/>
      <c r="J45" s="631"/>
      <c r="K45" s="630"/>
      <c r="L45" s="630"/>
      <c r="M45" s="630"/>
      <c r="N45" s="901"/>
      <c r="O45" s="629">
        <f>'FORMATO PROPUESTA ECONÓMICA'!E43</f>
        <v>0</v>
      </c>
      <c r="P45" s="911">
        <f t="shared" si="2"/>
        <v>0</v>
      </c>
      <c r="Q45" s="755"/>
      <c r="R45" s="616"/>
      <c r="S45" s="1120"/>
    </row>
    <row r="46" spans="2:19" ht="18" hidden="1" customHeight="1" x14ac:dyDescent="0.25">
      <c r="B46" s="750"/>
      <c r="C46" s="752" t="e">
        <f>'FORMATO PROPUESTA ECONÓMICA'!#REF!</f>
        <v>#REF!</v>
      </c>
      <c r="D46" s="756"/>
      <c r="E46" s="720">
        <f>'5. Presup. Sector 4'!E46</f>
        <v>6.12</v>
      </c>
      <c r="F46" s="633" t="s">
        <v>445</v>
      </c>
      <c r="G46" s="813" t="s">
        <v>79</v>
      </c>
      <c r="H46" s="629"/>
      <c r="I46" s="630"/>
      <c r="J46" s="631"/>
      <c r="K46" s="630"/>
      <c r="L46" s="630"/>
      <c r="M46" s="630"/>
      <c r="N46" s="901"/>
      <c r="O46" s="629">
        <f>'FORMATO PROPUESTA ECONÓMICA'!E44</f>
        <v>0</v>
      </c>
      <c r="P46" s="911">
        <f t="shared" si="2"/>
        <v>0</v>
      </c>
      <c r="Q46" s="755"/>
      <c r="R46" s="616"/>
      <c r="S46" s="1120"/>
    </row>
    <row r="47" spans="2:19" ht="19.5" hidden="1" customHeight="1" x14ac:dyDescent="0.25">
      <c r="B47" s="750"/>
      <c r="C47" s="752" t="e">
        <f>'FORMATO PROPUESTA ECONÓMICA'!#REF!</f>
        <v>#REF!</v>
      </c>
      <c r="D47" s="756"/>
      <c r="E47" s="720">
        <f>'5. Presup. Sector 4'!E47</f>
        <v>6.13</v>
      </c>
      <c r="F47" s="633" t="s">
        <v>387</v>
      </c>
      <c r="G47" s="622" t="s">
        <v>79</v>
      </c>
      <c r="H47" s="629"/>
      <c r="I47" s="630"/>
      <c r="J47" s="631"/>
      <c r="K47" s="630"/>
      <c r="L47" s="630"/>
      <c r="M47" s="630"/>
      <c r="N47" s="901"/>
      <c r="O47" s="629">
        <f>'FORMATO PROPUESTA ECONÓMICA'!E45</f>
        <v>0</v>
      </c>
      <c r="P47" s="911">
        <f t="shared" si="2"/>
        <v>0</v>
      </c>
      <c r="Q47" s="755"/>
      <c r="R47" s="616"/>
      <c r="S47" s="1120"/>
    </row>
    <row r="48" spans="2:19" hidden="1" x14ac:dyDescent="0.25">
      <c r="B48" s="750"/>
      <c r="C48" s="752" t="e">
        <f>'FORMATO PROPUESTA ECONÓMICA'!#REF!</f>
        <v>#REF!</v>
      </c>
      <c r="D48" s="756"/>
      <c r="E48" s="720">
        <f>'5. Presup. Sector 4'!E48</f>
        <v>6.14</v>
      </c>
      <c r="F48" s="633" t="s">
        <v>388</v>
      </c>
      <c r="G48" s="622" t="s">
        <v>79</v>
      </c>
      <c r="H48" s="629"/>
      <c r="I48" s="630"/>
      <c r="J48" s="631"/>
      <c r="K48" s="630"/>
      <c r="L48" s="630"/>
      <c r="M48" s="630"/>
      <c r="N48" s="901"/>
      <c r="O48" s="629">
        <f>'FORMATO PROPUESTA ECONÓMICA'!E46</f>
        <v>0</v>
      </c>
      <c r="P48" s="911">
        <f t="shared" si="2"/>
        <v>0</v>
      </c>
      <c r="Q48" s="755"/>
      <c r="R48" s="616"/>
      <c r="S48" s="1120"/>
    </row>
    <row r="49" spans="2:19" x14ac:dyDescent="0.25">
      <c r="B49" s="750"/>
      <c r="C49" s="752" t="e">
        <f>'FORMATO PROPUESTA ECONÓMICA'!#REF!</f>
        <v>#REF!</v>
      </c>
      <c r="D49" s="756"/>
      <c r="E49" s="720">
        <f>'5. Presup. Sector 4'!E49</f>
        <v>6.15</v>
      </c>
      <c r="F49" s="633" t="s">
        <v>389</v>
      </c>
      <c r="G49" s="622" t="s">
        <v>79</v>
      </c>
      <c r="H49" s="629"/>
      <c r="I49" s="630"/>
      <c r="J49" s="631"/>
      <c r="K49" s="630"/>
      <c r="L49" s="630"/>
      <c r="M49" s="630"/>
      <c r="N49" s="901">
        <v>2</v>
      </c>
      <c r="O49" s="629">
        <f>'FORMATO PROPUESTA ECONÓMICA'!E47</f>
        <v>0</v>
      </c>
      <c r="P49" s="911">
        <f t="shared" si="2"/>
        <v>0</v>
      </c>
      <c r="Q49" s="755"/>
      <c r="R49" s="616"/>
      <c r="S49" s="1120"/>
    </row>
    <row r="50" spans="2:19" x14ac:dyDescent="0.25">
      <c r="B50" s="750"/>
      <c r="C50" s="752" t="e">
        <f>'FORMATO PROPUESTA ECONÓMICA'!#REF!</f>
        <v>#REF!</v>
      </c>
      <c r="D50" s="756"/>
      <c r="E50" s="720">
        <f>'5. Presup. Sector 4'!E50</f>
        <v>6.16</v>
      </c>
      <c r="F50" s="633" t="s">
        <v>390</v>
      </c>
      <c r="G50" s="622" t="s">
        <v>79</v>
      </c>
      <c r="H50" s="629"/>
      <c r="I50" s="630"/>
      <c r="J50" s="631"/>
      <c r="K50" s="630"/>
      <c r="L50" s="630"/>
      <c r="M50" s="630"/>
      <c r="N50" s="901">
        <v>4</v>
      </c>
      <c r="O50" s="629">
        <f>'FORMATO PROPUESTA ECONÓMICA'!E48</f>
        <v>0</v>
      </c>
      <c r="P50" s="911">
        <f t="shared" si="2"/>
        <v>0</v>
      </c>
      <c r="Q50" s="755"/>
      <c r="R50" s="616"/>
      <c r="S50" s="1120"/>
    </row>
    <row r="51" spans="2:19" x14ac:dyDescent="0.25">
      <c r="B51" s="750"/>
      <c r="C51" s="752" t="e">
        <f>'FORMATO PROPUESTA ECONÓMICA'!#REF!</f>
        <v>#REF!</v>
      </c>
      <c r="D51" s="756"/>
      <c r="E51" s="720">
        <f>'5. Presup. Sector 4'!E51</f>
        <v>6.17</v>
      </c>
      <c r="F51" s="633" t="s">
        <v>391</v>
      </c>
      <c r="G51" s="622" t="s">
        <v>79</v>
      </c>
      <c r="H51" s="629"/>
      <c r="I51" s="630"/>
      <c r="J51" s="631"/>
      <c r="K51" s="630"/>
      <c r="L51" s="630"/>
      <c r="M51" s="630"/>
      <c r="N51" s="901">
        <v>4</v>
      </c>
      <c r="O51" s="629">
        <f>'FORMATO PROPUESTA ECONÓMICA'!E49</f>
        <v>0</v>
      </c>
      <c r="P51" s="911">
        <f t="shared" si="2"/>
        <v>0</v>
      </c>
      <c r="Q51" s="755"/>
      <c r="R51" s="616"/>
      <c r="S51" s="1120"/>
    </row>
    <row r="52" spans="2:19" ht="16.5" customHeight="1" x14ac:dyDescent="0.25">
      <c r="B52" s="750"/>
      <c r="C52" s="752" t="e">
        <f>'FORMATO PROPUESTA ECONÓMICA'!#REF!</f>
        <v>#REF!</v>
      </c>
      <c r="D52" s="756"/>
      <c r="E52" s="720">
        <f>'5. Presup. Sector 4'!E52</f>
        <v>6.18</v>
      </c>
      <c r="F52" s="633" t="s">
        <v>392</v>
      </c>
      <c r="G52" s="622" t="s">
        <v>79</v>
      </c>
      <c r="H52" s="629"/>
      <c r="I52" s="630"/>
      <c r="J52" s="631"/>
      <c r="K52" s="630"/>
      <c r="L52" s="630"/>
      <c r="M52" s="630"/>
      <c r="N52" s="901">
        <v>8</v>
      </c>
      <c r="O52" s="629">
        <f>'FORMATO PROPUESTA ECONÓMICA'!E50</f>
        <v>0</v>
      </c>
      <c r="P52" s="911">
        <f t="shared" si="2"/>
        <v>0</v>
      </c>
      <c r="Q52" s="755"/>
      <c r="R52" s="616"/>
      <c r="S52" s="1120"/>
    </row>
    <row r="53" spans="2:19" ht="15.75" customHeight="1" x14ac:dyDescent="0.25">
      <c r="B53" s="750"/>
      <c r="C53" s="752" t="e">
        <f>'FORMATO PROPUESTA ECONÓMICA'!#REF!</f>
        <v>#REF!</v>
      </c>
      <c r="D53" s="756"/>
      <c r="E53" s="720">
        <f>'5. Presup. Sector 4'!E53</f>
        <v>6.19</v>
      </c>
      <c r="F53" s="633" t="s">
        <v>393</v>
      </c>
      <c r="G53" s="622" t="s">
        <v>79</v>
      </c>
      <c r="H53" s="629"/>
      <c r="I53" s="630"/>
      <c r="J53" s="631"/>
      <c r="K53" s="630"/>
      <c r="L53" s="630"/>
      <c r="M53" s="630"/>
      <c r="N53" s="901">
        <v>6</v>
      </c>
      <c r="O53" s="629">
        <f>'FORMATO PROPUESTA ECONÓMICA'!E51</f>
        <v>0</v>
      </c>
      <c r="P53" s="911">
        <f t="shared" si="2"/>
        <v>0</v>
      </c>
      <c r="Q53" s="755"/>
      <c r="R53" s="616"/>
      <c r="S53" s="1120"/>
    </row>
    <row r="54" spans="2:19" hidden="1" x14ac:dyDescent="0.25">
      <c r="B54" s="750"/>
      <c r="C54" s="752" t="e">
        <f>'FORMATO PROPUESTA ECONÓMICA'!#REF!</f>
        <v>#REF!</v>
      </c>
      <c r="D54" s="756"/>
      <c r="E54" s="720">
        <f>'5. Presup. Sector 4'!E54</f>
        <v>6.2</v>
      </c>
      <c r="F54" s="633" t="s">
        <v>394</v>
      </c>
      <c r="G54" s="622" t="s">
        <v>79</v>
      </c>
      <c r="H54" s="629"/>
      <c r="I54" s="630"/>
      <c r="J54" s="631"/>
      <c r="K54" s="630"/>
      <c r="L54" s="630"/>
      <c r="M54" s="630"/>
      <c r="N54" s="901"/>
      <c r="O54" s="629">
        <f>'FORMATO PROPUESTA ECONÓMICA'!E52</f>
        <v>0</v>
      </c>
      <c r="P54" s="911">
        <f t="shared" si="2"/>
        <v>0</v>
      </c>
      <c r="Q54" s="755"/>
      <c r="R54" s="616"/>
      <c r="S54" s="1120"/>
    </row>
    <row r="55" spans="2:19" hidden="1" x14ac:dyDescent="0.25">
      <c r="B55" s="750"/>
      <c r="C55" s="752" t="e">
        <f>'FORMATO PROPUESTA ECONÓMICA'!#REF!</f>
        <v>#REF!</v>
      </c>
      <c r="D55" s="756"/>
      <c r="E55" s="720">
        <f>'5. Presup. Sector 4'!E55</f>
        <v>6.21</v>
      </c>
      <c r="F55" s="633" t="s">
        <v>395</v>
      </c>
      <c r="G55" s="622" t="s">
        <v>79</v>
      </c>
      <c r="H55" s="629"/>
      <c r="I55" s="630"/>
      <c r="J55" s="631"/>
      <c r="K55" s="630"/>
      <c r="L55" s="630"/>
      <c r="M55" s="630"/>
      <c r="N55" s="901"/>
      <c r="O55" s="629">
        <f>'FORMATO PROPUESTA ECONÓMICA'!E53</f>
        <v>0</v>
      </c>
      <c r="P55" s="911">
        <f t="shared" si="2"/>
        <v>0</v>
      </c>
      <c r="Q55" s="755"/>
      <c r="R55" s="616"/>
      <c r="S55" s="1120"/>
    </row>
    <row r="56" spans="2:19" hidden="1" x14ac:dyDescent="0.25">
      <c r="B56" s="750"/>
      <c r="C56" s="752" t="e">
        <f>'FORMATO PROPUESTA ECONÓMICA'!#REF!</f>
        <v>#REF!</v>
      </c>
      <c r="D56" s="756"/>
      <c r="E56" s="720">
        <f>'5. Presup. Sector 4'!E56</f>
        <v>6.22</v>
      </c>
      <c r="F56" s="633" t="s">
        <v>396</v>
      </c>
      <c r="G56" s="622" t="s">
        <v>79</v>
      </c>
      <c r="H56" s="629"/>
      <c r="I56" s="630"/>
      <c r="J56" s="631"/>
      <c r="K56" s="630"/>
      <c r="L56" s="630"/>
      <c r="M56" s="630"/>
      <c r="N56" s="901"/>
      <c r="O56" s="629">
        <f>'FORMATO PROPUESTA ECONÓMICA'!E54</f>
        <v>0</v>
      </c>
      <c r="P56" s="911">
        <f t="shared" si="2"/>
        <v>0</v>
      </c>
      <c r="Q56" s="755"/>
      <c r="R56" s="616"/>
      <c r="S56" s="1120"/>
    </row>
    <row r="57" spans="2:19" hidden="1" x14ac:dyDescent="0.25">
      <c r="B57" s="750"/>
      <c r="C57" s="752" t="e">
        <f>'FORMATO PROPUESTA ECONÓMICA'!#REF!</f>
        <v>#REF!</v>
      </c>
      <c r="D57" s="756"/>
      <c r="E57" s="720">
        <f>'5. Presup. Sector 4'!E57</f>
        <v>6.23</v>
      </c>
      <c r="F57" s="633" t="s">
        <v>397</v>
      </c>
      <c r="G57" s="622" t="s">
        <v>79</v>
      </c>
      <c r="H57" s="629"/>
      <c r="I57" s="630"/>
      <c r="J57" s="631"/>
      <c r="K57" s="630"/>
      <c r="L57" s="630"/>
      <c r="M57" s="630"/>
      <c r="N57" s="901"/>
      <c r="O57" s="629">
        <f>'FORMATO PROPUESTA ECONÓMICA'!E55</f>
        <v>0</v>
      </c>
      <c r="P57" s="911">
        <f t="shared" si="2"/>
        <v>0</v>
      </c>
      <c r="Q57" s="755"/>
      <c r="R57" s="616"/>
      <c r="S57" s="1120"/>
    </row>
    <row r="58" spans="2:19" x14ac:dyDescent="0.25">
      <c r="B58" s="750"/>
      <c r="C58" s="752" t="e">
        <f>'FORMATO PROPUESTA ECONÓMICA'!#REF!</f>
        <v>#REF!</v>
      </c>
      <c r="D58" s="756"/>
      <c r="E58" s="720">
        <f>'5. Presup. Sector 4'!E58</f>
        <v>6.24</v>
      </c>
      <c r="F58" s="633" t="s">
        <v>398</v>
      </c>
      <c r="G58" s="622" t="s">
        <v>79</v>
      </c>
      <c r="H58" s="629"/>
      <c r="I58" s="630"/>
      <c r="J58" s="631"/>
      <c r="K58" s="630"/>
      <c r="L58" s="630"/>
      <c r="M58" s="630"/>
      <c r="N58" s="901">
        <f>N87</f>
        <v>16</v>
      </c>
      <c r="O58" s="629">
        <f>'FORMATO PROPUESTA ECONÓMICA'!E56</f>
        <v>0</v>
      </c>
      <c r="P58" s="911">
        <f t="shared" si="2"/>
        <v>0</v>
      </c>
      <c r="Q58" s="755"/>
      <c r="R58" s="616"/>
      <c r="S58" s="1120"/>
    </row>
    <row r="59" spans="2:19" hidden="1" x14ac:dyDescent="0.25">
      <c r="B59" s="750"/>
      <c r="C59" s="752" t="e">
        <f>'FORMATO PROPUESTA ECONÓMICA'!#REF!</f>
        <v>#REF!</v>
      </c>
      <c r="D59" s="756"/>
      <c r="E59" s="720">
        <f>'5. Presup. Sector 4'!E59</f>
        <v>6.25</v>
      </c>
      <c r="F59" s="633" t="s">
        <v>399</v>
      </c>
      <c r="G59" s="622" t="s">
        <v>79</v>
      </c>
      <c r="H59" s="629"/>
      <c r="I59" s="630"/>
      <c r="J59" s="631"/>
      <c r="K59" s="630"/>
      <c r="L59" s="630"/>
      <c r="M59" s="630"/>
      <c r="N59" s="901"/>
      <c r="O59" s="629">
        <f>'FORMATO PROPUESTA ECONÓMICA'!E57</f>
        <v>0</v>
      </c>
      <c r="P59" s="911">
        <f t="shared" si="2"/>
        <v>0</v>
      </c>
      <c r="Q59" s="755"/>
      <c r="R59" s="616"/>
      <c r="S59" s="1120"/>
    </row>
    <row r="60" spans="2:19" hidden="1" x14ac:dyDescent="0.25">
      <c r="B60" s="750"/>
      <c r="C60" s="752" t="e">
        <f>'FORMATO PROPUESTA ECONÓMICA'!#REF!</f>
        <v>#REF!</v>
      </c>
      <c r="D60" s="756"/>
      <c r="E60" s="720">
        <f>'5. Presup. Sector 4'!E60</f>
        <v>6.26</v>
      </c>
      <c r="F60" s="633" t="s">
        <v>400</v>
      </c>
      <c r="G60" s="622" t="s">
        <v>79</v>
      </c>
      <c r="H60" s="629"/>
      <c r="I60" s="630"/>
      <c r="J60" s="631"/>
      <c r="K60" s="630"/>
      <c r="L60" s="630"/>
      <c r="M60" s="630"/>
      <c r="N60" s="901"/>
      <c r="O60" s="629">
        <f>'FORMATO PROPUESTA ECONÓMICA'!E58</f>
        <v>0</v>
      </c>
      <c r="P60" s="911">
        <f t="shared" si="2"/>
        <v>0</v>
      </c>
      <c r="Q60" s="755"/>
      <c r="R60" s="616"/>
      <c r="S60" s="1120"/>
    </row>
    <row r="61" spans="2:19" x14ac:dyDescent="0.25">
      <c r="B61" s="750"/>
      <c r="C61" s="752" t="e">
        <f>'FORMATO PROPUESTA ECONÓMICA'!#REF!</f>
        <v>#REF!</v>
      </c>
      <c r="D61" s="756"/>
      <c r="E61" s="720">
        <f>'5. Presup. Sector 4'!E61</f>
        <v>6.27</v>
      </c>
      <c r="F61" s="633" t="s">
        <v>401</v>
      </c>
      <c r="G61" s="622" t="s">
        <v>79</v>
      </c>
      <c r="H61" s="629"/>
      <c r="I61" s="630"/>
      <c r="J61" s="631"/>
      <c r="K61" s="630"/>
      <c r="L61" s="630"/>
      <c r="M61" s="630"/>
      <c r="N61" s="901">
        <f>N90</f>
        <v>6</v>
      </c>
      <c r="O61" s="629">
        <f>'FORMATO PROPUESTA ECONÓMICA'!E59</f>
        <v>0</v>
      </c>
      <c r="P61" s="911">
        <f t="shared" si="2"/>
        <v>0</v>
      </c>
      <c r="Q61" s="755"/>
      <c r="R61" s="616"/>
      <c r="S61" s="1120"/>
    </row>
    <row r="62" spans="2:19" ht="30" hidden="1" x14ac:dyDescent="0.25">
      <c r="B62" s="750"/>
      <c r="C62" s="752" t="e">
        <f>'FORMATO PROPUESTA ECONÓMICA'!#REF!</f>
        <v>#REF!</v>
      </c>
      <c r="D62" s="756"/>
      <c r="E62" s="734">
        <f>'5. Presup. Sector 4'!E62</f>
        <v>6.28</v>
      </c>
      <c r="F62" s="633" t="s">
        <v>80</v>
      </c>
      <c r="G62" s="622" t="s">
        <v>79</v>
      </c>
      <c r="H62" s="629"/>
      <c r="I62" s="630"/>
      <c r="J62" s="631"/>
      <c r="K62" s="630"/>
      <c r="L62" s="630"/>
      <c r="M62" s="630"/>
      <c r="N62" s="963"/>
      <c r="O62" s="629">
        <f>'FORMATO PROPUESTA ECONÓMICA'!E60</f>
        <v>0</v>
      </c>
      <c r="P62" s="911">
        <f t="shared" si="2"/>
        <v>0</v>
      </c>
      <c r="Q62" s="755"/>
      <c r="R62" s="616"/>
      <c r="S62" s="1120"/>
    </row>
    <row r="63" spans="2:19" ht="30" hidden="1" x14ac:dyDescent="0.25">
      <c r="B63" s="750"/>
      <c r="C63" s="752" t="e">
        <f>'FORMATO PROPUESTA ECONÓMICA'!#REF!</f>
        <v>#REF!</v>
      </c>
      <c r="D63" s="756"/>
      <c r="E63" s="734">
        <f>'5. Presup. Sector 4'!E63</f>
        <v>6.29</v>
      </c>
      <c r="F63" s="633" t="s">
        <v>81</v>
      </c>
      <c r="G63" s="622" t="s">
        <v>79</v>
      </c>
      <c r="H63" s="629"/>
      <c r="I63" s="630"/>
      <c r="J63" s="631"/>
      <c r="K63" s="630"/>
      <c r="L63" s="630"/>
      <c r="M63" s="630"/>
      <c r="N63" s="963"/>
      <c r="O63" s="629">
        <f>'FORMATO PROPUESTA ECONÓMICA'!E61</f>
        <v>0</v>
      </c>
      <c r="P63" s="911">
        <f t="shared" si="2"/>
        <v>0</v>
      </c>
      <c r="Q63" s="755"/>
      <c r="R63" s="616"/>
      <c r="S63" s="1120"/>
    </row>
    <row r="64" spans="2:19" ht="30" x14ac:dyDescent="0.25">
      <c r="B64" s="750" t="str">
        <f>+'[3]1. Colector Principal'!C40</f>
        <v>Suministro, transporte y colocación de entresuelo para cimentaciones y apoyo de tubería:</v>
      </c>
      <c r="C64" s="841" t="e">
        <f>'FORMATO PROPUESTA ECONÓMICA'!#REF!</f>
        <v>#REF!</v>
      </c>
      <c r="D64" s="758"/>
      <c r="E64" s="732">
        <f>'5. Presup. Sector 4'!E64</f>
        <v>7</v>
      </c>
      <c r="F64" s="43" t="s">
        <v>82</v>
      </c>
      <c r="G64" s="807"/>
      <c r="H64" s="39">
        <f>IF(ISERROR(VLOOKUP($D64,[4]Ppto!$A$3:$F$100,4,)),0,VLOOKUP($D64,[4]Ppto!$A$3:$F$100,4,))</f>
        <v>0</v>
      </c>
      <c r="I64" s="40">
        <f>IF(ISERROR(VLOOKUP($D64,[4]Ppto!$A$3:$F$100,5,)),0,VLOOKUP($D64,[4]Ppto!$A$3:$F$100,5,))</f>
        <v>0</v>
      </c>
      <c r="J64" s="41">
        <v>1</v>
      </c>
      <c r="K64" s="40">
        <f>+I64-O64</f>
        <v>0</v>
      </c>
      <c r="L64" s="40">
        <f t="shared" si="0"/>
        <v>0</v>
      </c>
      <c r="M64" s="40">
        <f>+L64-P64</f>
        <v>0</v>
      </c>
      <c r="N64" s="962"/>
      <c r="O64" s="39"/>
      <c r="P64" s="912"/>
      <c r="Q64" s="755"/>
      <c r="R64" s="616"/>
      <c r="S64" s="1120"/>
    </row>
    <row r="65" spans="2:19" ht="30" x14ac:dyDescent="0.25">
      <c r="B65" s="750" t="str">
        <f>+'[3]1. Colector Principal'!C41</f>
        <v>S.T.I Lleno con triturado 3/4" (19mm) y 1" (25mm)</v>
      </c>
      <c r="C65" s="752" t="e">
        <f>'FORMATO PROPUESTA ECONÓMICA'!#REF!</f>
        <v>#REF!</v>
      </c>
      <c r="D65" s="756"/>
      <c r="E65" s="734">
        <f>'5. Presup. Sector 4'!E65</f>
        <v>7.1</v>
      </c>
      <c r="F65" s="633" t="s">
        <v>402</v>
      </c>
      <c r="G65" s="622"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964">
        <f>320*6</f>
        <v>1920</v>
      </c>
      <c r="O65" s="629">
        <f>'FORMATO PROPUESTA ECONÓMICA'!E63</f>
        <v>0</v>
      </c>
      <c r="P65" s="911">
        <f t="shared" ref="P65:P79" si="3">IF(ISERROR(+N65*O65),"",+N65*O65)</f>
        <v>0</v>
      </c>
      <c r="Q65" s="755"/>
      <c r="R65" s="616"/>
      <c r="S65" s="1120"/>
    </row>
    <row r="66" spans="2:19" ht="18.75" customHeight="1" x14ac:dyDescent="0.25">
      <c r="B66" s="750" t="str">
        <f>+'[3]1. Colector Principal'!C42</f>
        <v>S.T.I Lleno con arenilla 3/4" (19mm) y 1" (25mm)</v>
      </c>
      <c r="C66" s="752" t="e">
        <f>'FORMATO PROPUESTA ECONÓMICA'!#REF!</f>
        <v>#REF!</v>
      </c>
      <c r="D66" s="756"/>
      <c r="E66" s="734">
        <f>'5. Presup. Sector 4'!E66</f>
        <v>7.2</v>
      </c>
      <c r="F66" s="633" t="s">
        <v>403</v>
      </c>
      <c r="G66" s="622"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964">
        <f>30*6</f>
        <v>180</v>
      </c>
      <c r="O66" s="629">
        <f>'FORMATO PROPUESTA ECONÓMICA'!E64</f>
        <v>0</v>
      </c>
      <c r="P66" s="911">
        <f t="shared" si="3"/>
        <v>0</v>
      </c>
      <c r="Q66" s="755"/>
      <c r="R66" s="616"/>
      <c r="S66" s="1120"/>
    </row>
    <row r="67" spans="2:19" hidden="1" x14ac:dyDescent="0.25">
      <c r="B67" s="750"/>
      <c r="C67" s="752" t="e">
        <f>'FORMATO PROPUESTA ECONÓMICA'!#REF!</f>
        <v>#REF!</v>
      </c>
      <c r="D67" s="756"/>
      <c r="E67" s="734">
        <f>'5. Presup. Sector 4'!E67</f>
        <v>7.3</v>
      </c>
      <c r="F67" s="633" t="s">
        <v>424</v>
      </c>
      <c r="G67" s="622" t="s">
        <v>79</v>
      </c>
      <c r="H67" s="629"/>
      <c r="I67" s="630"/>
      <c r="J67" s="631"/>
      <c r="K67" s="630"/>
      <c r="L67" s="630"/>
      <c r="M67" s="630"/>
      <c r="N67" s="964"/>
      <c r="O67" s="629">
        <f>'FORMATO PROPUESTA ECONÓMICA'!E65</f>
        <v>0</v>
      </c>
      <c r="P67" s="911">
        <f t="shared" si="3"/>
        <v>0</v>
      </c>
      <c r="Q67" s="755"/>
      <c r="R67" s="616"/>
      <c r="S67" s="1120"/>
    </row>
    <row r="68" spans="2:19" hidden="1" x14ac:dyDescent="0.25">
      <c r="B68" s="750"/>
      <c r="C68" s="752" t="e">
        <f>'FORMATO PROPUESTA ECONÓMICA'!#REF!</f>
        <v>#REF!</v>
      </c>
      <c r="D68" s="756"/>
      <c r="E68" s="734">
        <f>'5. Presup. Sector 4'!E68</f>
        <v>7.4</v>
      </c>
      <c r="F68" s="633" t="s">
        <v>426</v>
      </c>
      <c r="G68" s="622" t="s">
        <v>79</v>
      </c>
      <c r="H68" s="629"/>
      <c r="I68" s="630"/>
      <c r="J68" s="631"/>
      <c r="K68" s="630"/>
      <c r="L68" s="630"/>
      <c r="M68" s="630"/>
      <c r="N68" s="964"/>
      <c r="O68" s="629">
        <f>'FORMATO PROPUESTA ECONÓMICA'!E66</f>
        <v>0</v>
      </c>
      <c r="P68" s="911">
        <f t="shared" si="3"/>
        <v>0</v>
      </c>
      <c r="Q68" s="755"/>
      <c r="R68" s="616"/>
      <c r="S68" s="1120"/>
    </row>
    <row r="69" spans="2:19" x14ac:dyDescent="0.25">
      <c r="B69" s="750"/>
      <c r="C69" s="752" t="e">
        <f>'FORMATO PROPUESTA ECONÓMICA'!#REF!</f>
        <v>#REF!</v>
      </c>
      <c r="D69" s="756"/>
      <c r="E69" s="734">
        <f>'5. Presup. Sector 4'!E69</f>
        <v>7.5</v>
      </c>
      <c r="F69" s="633" t="s">
        <v>425</v>
      </c>
      <c r="G69" s="622" t="s">
        <v>79</v>
      </c>
      <c r="H69" s="629"/>
      <c r="I69" s="630"/>
      <c r="J69" s="631"/>
      <c r="K69" s="630"/>
      <c r="L69" s="630"/>
      <c r="M69" s="630"/>
      <c r="N69" s="964">
        <v>320</v>
      </c>
      <c r="O69" s="629">
        <f>'FORMATO PROPUESTA ECONÓMICA'!E67</f>
        <v>0</v>
      </c>
      <c r="P69" s="911">
        <f t="shared" si="3"/>
        <v>0</v>
      </c>
      <c r="Q69" s="755"/>
      <c r="R69" s="616"/>
      <c r="S69" s="1120"/>
    </row>
    <row r="70" spans="2:19" x14ac:dyDescent="0.25">
      <c r="B70" s="750"/>
      <c r="C70" s="752" t="e">
        <f>'FORMATO PROPUESTA ECONÓMICA'!#REF!</f>
        <v>#REF!</v>
      </c>
      <c r="D70" s="756"/>
      <c r="E70" s="734">
        <f>'5. Presup. Sector 4'!E70</f>
        <v>7.6</v>
      </c>
      <c r="F70" s="633" t="s">
        <v>427</v>
      </c>
      <c r="G70" s="622" t="s">
        <v>79</v>
      </c>
      <c r="H70" s="629"/>
      <c r="I70" s="630"/>
      <c r="J70" s="631"/>
      <c r="K70" s="630"/>
      <c r="L70" s="630"/>
      <c r="M70" s="630"/>
      <c r="N70" s="964">
        <v>30</v>
      </c>
      <c r="O70" s="629">
        <f>'FORMATO PROPUESTA ECONÓMICA'!E68</f>
        <v>0</v>
      </c>
      <c r="P70" s="911">
        <f t="shared" si="3"/>
        <v>0</v>
      </c>
      <c r="Q70" s="755"/>
      <c r="R70" s="616"/>
      <c r="S70" s="1120"/>
    </row>
    <row r="71" spans="2:19" hidden="1" x14ac:dyDescent="0.25">
      <c r="B71" s="750"/>
      <c r="C71" s="752" t="e">
        <f>'FORMATO PROPUESTA ECONÓMICA'!#REF!</f>
        <v>#REF!</v>
      </c>
      <c r="D71" s="756"/>
      <c r="E71" s="734">
        <f>'5. Presup. Sector 4'!E71</f>
        <v>7.7</v>
      </c>
      <c r="F71" s="633" t="s">
        <v>429</v>
      </c>
      <c r="G71" s="622" t="s">
        <v>79</v>
      </c>
      <c r="H71" s="629"/>
      <c r="I71" s="630"/>
      <c r="J71" s="631"/>
      <c r="K71" s="630"/>
      <c r="L71" s="630"/>
      <c r="M71" s="630"/>
      <c r="N71" s="963"/>
      <c r="O71" s="629">
        <f>'FORMATO PROPUESTA ECONÓMICA'!E69</f>
        <v>0</v>
      </c>
      <c r="P71" s="911">
        <f t="shared" si="3"/>
        <v>0</v>
      </c>
      <c r="Q71" s="755"/>
      <c r="R71" s="616"/>
      <c r="S71" s="1120"/>
    </row>
    <row r="72" spans="2:19" x14ac:dyDescent="0.25">
      <c r="B72" s="750"/>
      <c r="C72" s="752" t="e">
        <f>'FORMATO PROPUESTA ECONÓMICA'!#REF!</f>
        <v>#REF!</v>
      </c>
      <c r="D72" s="756"/>
      <c r="E72" s="734">
        <f>'5. Presup. Sector 4'!E72</f>
        <v>7.8</v>
      </c>
      <c r="F72" s="633" t="s">
        <v>342</v>
      </c>
      <c r="G72" s="622" t="s">
        <v>79</v>
      </c>
      <c r="H72" s="629"/>
      <c r="I72" s="630"/>
      <c r="J72" s="631"/>
      <c r="K72" s="630"/>
      <c r="L72" s="630"/>
      <c r="M72" s="630"/>
      <c r="N72" s="964">
        <f>N69</f>
        <v>320</v>
      </c>
      <c r="O72" s="629">
        <f>'FORMATO PROPUESTA ECONÓMICA'!E70</f>
        <v>0</v>
      </c>
      <c r="P72" s="911">
        <f t="shared" si="3"/>
        <v>0</v>
      </c>
      <c r="Q72" s="755"/>
      <c r="R72" s="616"/>
      <c r="S72" s="1120"/>
    </row>
    <row r="73" spans="2:19" x14ac:dyDescent="0.25">
      <c r="B73" s="750" t="str">
        <f>+'[3]1. Colector Principal'!C43</f>
        <v>Corte, rotura y retiro de pavimento:</v>
      </c>
      <c r="C73" s="752" t="e">
        <f>'FORMATO PROPUESTA ECONÓMICA'!#REF!</f>
        <v>#REF!</v>
      </c>
      <c r="D73" s="756"/>
      <c r="E73" s="720">
        <f>'5. Presup. Sector 4'!E73</f>
        <v>7.9</v>
      </c>
      <c r="F73" s="633" t="s">
        <v>343</v>
      </c>
      <c r="G73" s="622"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964">
        <v>30</v>
      </c>
      <c r="O73" s="629">
        <f>'FORMATO PROPUESTA ECONÓMICA'!E71</f>
        <v>0</v>
      </c>
      <c r="P73" s="911">
        <f t="shared" si="3"/>
        <v>0</v>
      </c>
      <c r="Q73" s="755"/>
      <c r="R73" s="616"/>
      <c r="S73" s="1120"/>
    </row>
    <row r="74" spans="2:19" x14ac:dyDescent="0.25">
      <c r="B74" s="750" t="str">
        <f>+'[3]1. Colector Principal'!C44</f>
        <v>Corte, rotura y retiro de pavimento rigido</v>
      </c>
      <c r="C74" s="752" t="e">
        <f>'FORMATO PROPUESTA ECONÓMICA'!#REF!</f>
        <v>#REF!</v>
      </c>
      <c r="D74" s="756"/>
      <c r="E74" s="720">
        <f>'5. Presup. Sector 4'!E74</f>
        <v>7.1</v>
      </c>
      <c r="F74" s="633" t="s">
        <v>344</v>
      </c>
      <c r="G74" s="622"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964">
        <v>50</v>
      </c>
      <c r="O74" s="629">
        <f>'FORMATO PROPUESTA ECONÓMICA'!E72</f>
        <v>0</v>
      </c>
      <c r="P74" s="911">
        <f t="shared" si="3"/>
        <v>0</v>
      </c>
      <c r="Q74" s="755"/>
      <c r="R74" s="616"/>
      <c r="S74" s="1120"/>
    </row>
    <row r="75" spans="2:19" x14ac:dyDescent="0.25">
      <c r="B75" s="750" t="str">
        <f>+'[3]1. Colector Principal'!C45</f>
        <v xml:space="preserve">Corte, rotura y retiro de pavimento flexible </v>
      </c>
      <c r="C75" s="752" t="e">
        <f>'FORMATO PROPUESTA ECONÓMICA'!#REF!</f>
        <v>#REF!</v>
      </c>
      <c r="D75" s="756"/>
      <c r="E75" s="720">
        <f>'5. Presup. Sector 4'!E75</f>
        <v>7.11</v>
      </c>
      <c r="F75" s="633" t="s">
        <v>345</v>
      </c>
      <c r="G75" s="622"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964">
        <f>N76</f>
        <v>210</v>
      </c>
      <c r="O75" s="629">
        <f>'FORMATO PROPUESTA ECONÓMICA'!E73</f>
        <v>0</v>
      </c>
      <c r="P75" s="911">
        <f t="shared" si="3"/>
        <v>0</v>
      </c>
      <c r="Q75" s="755"/>
      <c r="R75" s="616"/>
      <c r="S75" s="1120"/>
    </row>
    <row r="76" spans="2:19" ht="90" x14ac:dyDescent="0.25">
      <c r="C76" s="752" t="e">
        <f>'FORMATO PROPUESTA ECONÓMICA'!#REF!</f>
        <v>#REF!</v>
      </c>
      <c r="D76" s="756"/>
      <c r="E76" s="720">
        <f>'5. Presup. Sector 4'!E76</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1013">
        <f>(N69+N70)*0.6</f>
        <v>210</v>
      </c>
      <c r="O76" s="629">
        <f>'FORMATO PROPUESTA ECONÓMICA'!E74</f>
        <v>0</v>
      </c>
      <c r="P76" s="837">
        <f t="shared" si="3"/>
        <v>0</v>
      </c>
      <c r="Q76" s="764"/>
      <c r="R76" s="616"/>
      <c r="S76" s="1120"/>
    </row>
    <row r="77" spans="2:19" x14ac:dyDescent="0.25">
      <c r="B77" s="750" t="str">
        <f>+'[3]1. Colector Principal'!C47</f>
        <v>Pavimento rigido</v>
      </c>
      <c r="C77" s="752" t="e">
        <f>'FORMATO PROPUESTA ECONÓMICA'!#REF!</f>
        <v>#REF!</v>
      </c>
      <c r="D77" s="756"/>
      <c r="E77" s="720">
        <f>'5. Presup. Sector 4'!E77</f>
        <v>7.13</v>
      </c>
      <c r="F77" s="633" t="s">
        <v>346</v>
      </c>
      <c r="G77" s="622"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965">
        <f>N76</f>
        <v>210</v>
      </c>
      <c r="O77" s="629">
        <f>'FORMATO PROPUESTA ECONÓMICA'!E75</f>
        <v>0</v>
      </c>
      <c r="P77" s="911">
        <f t="shared" si="3"/>
        <v>0</v>
      </c>
      <c r="Q77" s="755"/>
      <c r="R77" s="616"/>
      <c r="S77" s="1120"/>
    </row>
    <row r="78" spans="2:19" x14ac:dyDescent="0.25">
      <c r="B78" s="750" t="str">
        <f>+'[3]1. Colector Principal'!C48</f>
        <v xml:space="preserve">Pavimento flexible </v>
      </c>
      <c r="C78" s="752" t="e">
        <f>'FORMATO PROPUESTA ECONÓMICA'!#REF!</f>
        <v>#REF!</v>
      </c>
      <c r="D78" s="756"/>
      <c r="E78" s="720">
        <f>'5. Presup. Sector 4'!E78</f>
        <v>7.14</v>
      </c>
      <c r="F78" s="633" t="s">
        <v>347</v>
      </c>
      <c r="G78" s="622"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965">
        <f>N69+N70</f>
        <v>350</v>
      </c>
      <c r="O78" s="629">
        <f>'FORMATO PROPUESTA ECONÓMICA'!E76</f>
        <v>0</v>
      </c>
      <c r="P78" s="911">
        <f t="shared" si="3"/>
        <v>0</v>
      </c>
      <c r="Q78" s="755"/>
      <c r="R78" s="616"/>
      <c r="S78" s="1120"/>
    </row>
    <row r="79" spans="2:19" x14ac:dyDescent="0.25">
      <c r="B79" s="750" t="str">
        <f>+'[3]5.Domiciliarias Colector La Yuq'!C16</f>
        <v>Reparación de andén en concreto</v>
      </c>
      <c r="C79" s="752" t="e">
        <f>'FORMATO PROPUESTA ECONÓMICA'!#REF!</f>
        <v>#REF!</v>
      </c>
      <c r="D79" s="756"/>
      <c r="E79" s="720">
        <f>'5. Presup. Sector 4'!E79</f>
        <v>7.15</v>
      </c>
      <c r="F79" s="633" t="s">
        <v>348</v>
      </c>
      <c r="G79" s="622"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965">
        <f>N78</f>
        <v>350</v>
      </c>
      <c r="O79" s="629">
        <f>'FORMATO PROPUESTA ECONÓMICA'!E77</f>
        <v>0</v>
      </c>
      <c r="P79" s="911">
        <f t="shared" si="3"/>
        <v>0</v>
      </c>
      <c r="Q79" s="755"/>
      <c r="R79" s="616"/>
      <c r="S79" s="1120"/>
    </row>
    <row r="80" spans="2:19" x14ac:dyDescent="0.25">
      <c r="B80" s="750"/>
      <c r="C80" s="841"/>
      <c r="D80" s="758"/>
      <c r="E80" s="732">
        <f>'5. Presup. Sector 4'!E80</f>
        <v>8</v>
      </c>
      <c r="F80" s="770" t="s">
        <v>349</v>
      </c>
      <c r="G80" s="807"/>
      <c r="H80" s="39"/>
      <c r="I80" s="40"/>
      <c r="J80" s="41"/>
      <c r="K80" s="40"/>
      <c r="L80" s="40"/>
      <c r="M80" s="40"/>
      <c r="N80" s="962"/>
      <c r="O80" s="39"/>
      <c r="P80" s="912"/>
      <c r="Q80" s="755"/>
      <c r="R80" s="616"/>
      <c r="S80" s="1120"/>
    </row>
    <row r="81" spans="2:19" x14ac:dyDescent="0.25">
      <c r="B81" s="750"/>
      <c r="C81" s="752" t="e">
        <f>'FORMATO PROPUESTA ECONÓMICA'!#REF!</f>
        <v>#REF!</v>
      </c>
      <c r="D81" s="756"/>
      <c r="E81" s="734">
        <f>'5. Presup. Sector 4'!E81</f>
        <v>8.1</v>
      </c>
      <c r="F81" s="633" t="s">
        <v>83</v>
      </c>
      <c r="G81" s="622" t="s">
        <v>79</v>
      </c>
      <c r="H81" s="629"/>
      <c r="I81" s="630"/>
      <c r="J81" s="631"/>
      <c r="K81" s="630"/>
      <c r="L81" s="630"/>
      <c r="M81" s="630"/>
      <c r="N81" s="901">
        <v>3</v>
      </c>
      <c r="O81" s="629">
        <f>'FORMATO PROPUESTA ECONÓMICA'!E79</f>
        <v>0</v>
      </c>
      <c r="P81" s="911">
        <f t="shared" ref="P81:P101" si="6">IF(ISERROR(+N81*O81),"",+N81*O81)</f>
        <v>0</v>
      </c>
      <c r="Q81" s="755"/>
      <c r="R81" s="616"/>
      <c r="S81" s="1120"/>
    </row>
    <row r="82" spans="2:19" x14ac:dyDescent="0.25">
      <c r="B82" s="750"/>
      <c r="C82" s="752" t="e">
        <f>'FORMATO PROPUESTA ECONÓMICA'!#REF!</f>
        <v>#REF!</v>
      </c>
      <c r="D82" s="756"/>
      <c r="E82" s="734">
        <f>'5. Presup. Sector 4'!E82</f>
        <v>8.1999999999999993</v>
      </c>
      <c r="F82" s="633" t="s">
        <v>84</v>
      </c>
      <c r="G82" s="622" t="s">
        <v>79</v>
      </c>
      <c r="H82" s="629"/>
      <c r="I82" s="630"/>
      <c r="J82" s="631"/>
      <c r="K82" s="630"/>
      <c r="L82" s="630"/>
      <c r="M82" s="630"/>
      <c r="N82" s="901">
        <v>3</v>
      </c>
      <c r="O82" s="629">
        <f>'FORMATO PROPUESTA ECONÓMICA'!E80</f>
        <v>0</v>
      </c>
      <c r="P82" s="911">
        <f t="shared" si="6"/>
        <v>0</v>
      </c>
      <c r="Q82" s="755"/>
      <c r="R82" s="616"/>
      <c r="S82" s="1120"/>
    </row>
    <row r="83" spans="2:19" x14ac:dyDescent="0.25">
      <c r="B83" s="750"/>
      <c r="C83" s="752" t="e">
        <f>'FORMATO PROPUESTA ECONÓMICA'!#REF!</f>
        <v>#REF!</v>
      </c>
      <c r="D83" s="756"/>
      <c r="E83" s="734">
        <f>'5. Presup. Sector 4'!E83</f>
        <v>8.3000000000000007</v>
      </c>
      <c r="F83" s="633" t="s">
        <v>85</v>
      </c>
      <c r="G83" s="622" t="s">
        <v>79</v>
      </c>
      <c r="H83" s="629"/>
      <c r="I83" s="630"/>
      <c r="J83" s="631"/>
      <c r="K83" s="630"/>
      <c r="L83" s="630"/>
      <c r="M83" s="630"/>
      <c r="N83" s="901">
        <v>2</v>
      </c>
      <c r="O83" s="629">
        <f>'FORMATO PROPUESTA ECONÓMICA'!E81</f>
        <v>0</v>
      </c>
      <c r="P83" s="911">
        <f t="shared" si="6"/>
        <v>0</v>
      </c>
      <c r="Q83" s="755"/>
      <c r="R83" s="616"/>
      <c r="S83" s="1120"/>
    </row>
    <row r="84" spans="2:19" ht="15" customHeight="1" x14ac:dyDescent="0.25">
      <c r="B84" s="750"/>
      <c r="C84" s="752" t="e">
        <f>'FORMATO PROPUESTA ECONÓMICA'!#REF!</f>
        <v>#REF!</v>
      </c>
      <c r="D84" s="756"/>
      <c r="E84" s="734">
        <f>'5. Presup. Sector 4'!E84</f>
        <v>8.4</v>
      </c>
      <c r="F84" s="633" t="s">
        <v>86</v>
      </c>
      <c r="G84" s="622" t="s">
        <v>79</v>
      </c>
      <c r="H84" s="629"/>
      <c r="I84" s="630"/>
      <c r="J84" s="631"/>
      <c r="K84" s="630"/>
      <c r="L84" s="630"/>
      <c r="M84" s="630"/>
      <c r="N84" s="901">
        <v>1</v>
      </c>
      <c r="O84" s="629">
        <f>'FORMATO PROPUESTA ECONÓMICA'!E82</f>
        <v>0</v>
      </c>
      <c r="P84" s="911">
        <f t="shared" si="6"/>
        <v>0</v>
      </c>
      <c r="Q84" s="755"/>
      <c r="R84" s="616"/>
      <c r="S84" s="1120"/>
    </row>
    <row r="85" spans="2:19" ht="30" x14ac:dyDescent="0.25">
      <c r="B85" s="750"/>
      <c r="C85" s="752" t="e">
        <f>'FORMATO PROPUESTA ECONÓMICA'!#REF!</f>
        <v>#REF!</v>
      </c>
      <c r="D85" s="756"/>
      <c r="E85" s="734">
        <f>'5. Presup. Sector 4'!E85</f>
        <v>8.5</v>
      </c>
      <c r="F85" s="633" t="s">
        <v>519</v>
      </c>
      <c r="G85" s="622" t="s">
        <v>79</v>
      </c>
      <c r="H85" s="629"/>
      <c r="I85" s="630"/>
      <c r="J85" s="631"/>
      <c r="K85" s="630"/>
      <c r="L85" s="630"/>
      <c r="M85" s="630"/>
      <c r="N85" s="896">
        <f>N76</f>
        <v>210</v>
      </c>
      <c r="O85" s="629">
        <f>'FORMATO PROPUESTA ECONÓMICA'!E83</f>
        <v>0</v>
      </c>
      <c r="P85" s="911">
        <f t="shared" si="6"/>
        <v>0</v>
      </c>
      <c r="Q85" s="755"/>
      <c r="R85" s="616"/>
      <c r="S85" s="1120"/>
    </row>
    <row r="86" spans="2:19" hidden="1" x14ac:dyDescent="0.25">
      <c r="B86" s="750"/>
      <c r="C86" s="752" t="e">
        <f>'FORMATO PROPUESTA ECONÓMICA'!#REF!</f>
        <v>#REF!</v>
      </c>
      <c r="D86" s="756"/>
      <c r="E86" s="734">
        <f>'5. Presup. Sector 4'!E86</f>
        <v>8.6</v>
      </c>
      <c r="F86" s="633" t="s">
        <v>87</v>
      </c>
      <c r="G86" s="622" t="s">
        <v>79</v>
      </c>
      <c r="H86" s="629"/>
      <c r="I86" s="630"/>
      <c r="J86" s="631"/>
      <c r="K86" s="630"/>
      <c r="L86" s="630"/>
      <c r="M86" s="630"/>
      <c r="N86" s="901"/>
      <c r="O86" s="629">
        <f>'FORMATO PROPUESTA ECONÓMICA'!E84</f>
        <v>0</v>
      </c>
      <c r="P86" s="911">
        <f t="shared" si="6"/>
        <v>0</v>
      </c>
      <c r="Q86" s="755"/>
      <c r="R86" s="616"/>
      <c r="S86" s="1120"/>
    </row>
    <row r="87" spans="2:19" x14ac:dyDescent="0.25">
      <c r="B87" s="750"/>
      <c r="C87" s="752" t="e">
        <f>'FORMATO PROPUESTA ECONÓMICA'!#REF!</f>
        <v>#REF!</v>
      </c>
      <c r="D87" s="756"/>
      <c r="E87" s="734">
        <f>'5. Presup. Sector 4'!E87</f>
        <v>8.6999999999999993</v>
      </c>
      <c r="F87" s="633" t="s">
        <v>88</v>
      </c>
      <c r="G87" s="622" t="s">
        <v>79</v>
      </c>
      <c r="H87" s="629"/>
      <c r="I87" s="630"/>
      <c r="J87" s="631"/>
      <c r="K87" s="630"/>
      <c r="L87" s="630"/>
      <c r="M87" s="630"/>
      <c r="N87" s="901">
        <f>2*(N92)</f>
        <v>16</v>
      </c>
      <c r="O87" s="629">
        <f>'FORMATO PROPUESTA ECONÓMICA'!E85</f>
        <v>0</v>
      </c>
      <c r="P87" s="911">
        <f t="shared" si="6"/>
        <v>0</v>
      </c>
      <c r="Q87" s="755"/>
      <c r="R87" s="616"/>
      <c r="S87" s="1120"/>
    </row>
    <row r="88" spans="2:19" hidden="1" x14ac:dyDescent="0.25">
      <c r="B88" s="750"/>
      <c r="C88" s="752" t="e">
        <f>'FORMATO PROPUESTA ECONÓMICA'!#REF!</f>
        <v>#REF!</v>
      </c>
      <c r="D88" s="756"/>
      <c r="E88" s="734">
        <f>'5. Presup. Sector 4'!E88</f>
        <v>8.8000000000000007</v>
      </c>
      <c r="F88" s="633" t="s">
        <v>89</v>
      </c>
      <c r="G88" s="622" t="s">
        <v>79</v>
      </c>
      <c r="H88" s="629"/>
      <c r="I88" s="630"/>
      <c r="J88" s="631"/>
      <c r="K88" s="630"/>
      <c r="L88" s="630"/>
      <c r="M88" s="630"/>
      <c r="N88" s="901"/>
      <c r="O88" s="629">
        <f>'FORMATO PROPUESTA ECONÓMICA'!E86</f>
        <v>0</v>
      </c>
      <c r="P88" s="911">
        <f t="shared" si="6"/>
        <v>0</v>
      </c>
      <c r="Q88" s="755"/>
      <c r="R88" s="616"/>
      <c r="S88" s="1120"/>
    </row>
    <row r="89" spans="2:19" hidden="1" x14ac:dyDescent="0.25">
      <c r="B89" s="750"/>
      <c r="C89" s="752" t="e">
        <f>'FORMATO PROPUESTA ECONÓMICA'!#REF!</f>
        <v>#REF!</v>
      </c>
      <c r="D89" s="756"/>
      <c r="E89" s="734">
        <f>'5. Presup. Sector 4'!E89</f>
        <v>8.9</v>
      </c>
      <c r="F89" s="633" t="s">
        <v>90</v>
      </c>
      <c r="G89" s="622" t="s">
        <v>79</v>
      </c>
      <c r="H89" s="629"/>
      <c r="I89" s="630"/>
      <c r="J89" s="631"/>
      <c r="K89" s="630"/>
      <c r="L89" s="630"/>
      <c r="M89" s="630"/>
      <c r="N89" s="901"/>
      <c r="O89" s="629">
        <f>'FORMATO PROPUESTA ECONÓMICA'!E87</f>
        <v>0</v>
      </c>
      <c r="P89" s="911">
        <f t="shared" si="6"/>
        <v>0</v>
      </c>
      <c r="Q89" s="755"/>
      <c r="R89" s="616"/>
      <c r="S89" s="1120"/>
    </row>
    <row r="90" spans="2:19" x14ac:dyDescent="0.25">
      <c r="B90" s="750"/>
      <c r="C90" s="752" t="e">
        <f>'FORMATO PROPUESTA ECONÓMICA'!#REF!</f>
        <v>#REF!</v>
      </c>
      <c r="D90" s="756"/>
      <c r="E90" s="720">
        <f>'5. Presup. Sector 4'!E90</f>
        <v>8.1</v>
      </c>
      <c r="F90" s="633" t="s">
        <v>91</v>
      </c>
      <c r="G90" s="622" t="s">
        <v>79</v>
      </c>
      <c r="H90" s="629"/>
      <c r="I90" s="630"/>
      <c r="J90" s="631"/>
      <c r="K90" s="630"/>
      <c r="L90" s="630"/>
      <c r="M90" s="630"/>
      <c r="N90" s="901">
        <f>2*N95</f>
        <v>6</v>
      </c>
      <c r="O90" s="629">
        <f>'FORMATO PROPUESTA ECONÓMICA'!E88</f>
        <v>0</v>
      </c>
      <c r="P90" s="911">
        <f t="shared" si="6"/>
        <v>0</v>
      </c>
      <c r="Q90" s="755"/>
      <c r="R90" s="616"/>
      <c r="S90" s="1120"/>
    </row>
    <row r="91" spans="2:19" ht="30" hidden="1" x14ac:dyDescent="0.25">
      <c r="B91" s="750"/>
      <c r="C91" s="752" t="e">
        <f>'FORMATO PROPUESTA ECONÓMICA'!#REF!</f>
        <v>#REF!</v>
      </c>
      <c r="D91" s="756"/>
      <c r="E91" s="720">
        <f>'5. Presup. Sector 4'!E91</f>
        <v>8.11</v>
      </c>
      <c r="F91" s="633" t="s">
        <v>92</v>
      </c>
      <c r="G91" s="622" t="s">
        <v>79</v>
      </c>
      <c r="H91" s="629"/>
      <c r="I91" s="630"/>
      <c r="J91" s="631"/>
      <c r="K91" s="630"/>
      <c r="L91" s="630"/>
      <c r="M91" s="630"/>
      <c r="N91" s="901"/>
      <c r="O91" s="629">
        <f>'FORMATO PROPUESTA ECONÓMICA'!E89</f>
        <v>0</v>
      </c>
      <c r="P91" s="911">
        <f t="shared" si="6"/>
        <v>0</v>
      </c>
      <c r="Q91" s="755"/>
      <c r="R91" s="616"/>
      <c r="S91" s="1120"/>
    </row>
    <row r="92" spans="2:19" ht="30" x14ac:dyDescent="0.25">
      <c r="B92" s="750"/>
      <c r="C92" s="752" t="e">
        <f>'FORMATO PROPUESTA ECONÓMICA'!#REF!</f>
        <v>#REF!</v>
      </c>
      <c r="D92" s="756"/>
      <c r="E92" s="720">
        <f>'5. Presup. Sector 4'!E92</f>
        <v>8.1199999999999992</v>
      </c>
      <c r="F92" s="633" t="s">
        <v>93</v>
      </c>
      <c r="G92" s="622" t="s">
        <v>79</v>
      </c>
      <c r="H92" s="629"/>
      <c r="I92" s="630"/>
      <c r="J92" s="631"/>
      <c r="K92" s="630"/>
      <c r="L92" s="630"/>
      <c r="M92" s="630"/>
      <c r="N92" s="901">
        <v>8</v>
      </c>
      <c r="O92" s="629">
        <f>'FORMATO PROPUESTA ECONÓMICA'!E90</f>
        <v>0</v>
      </c>
      <c r="P92" s="911">
        <f t="shared" si="6"/>
        <v>0</v>
      </c>
      <c r="Q92" s="755"/>
      <c r="R92" s="616"/>
      <c r="S92" s="1120"/>
    </row>
    <row r="93" spans="2:19" ht="30" hidden="1" x14ac:dyDescent="0.25">
      <c r="B93" s="750"/>
      <c r="C93" s="752" t="e">
        <f>'FORMATO PROPUESTA ECONÓMICA'!#REF!</f>
        <v>#REF!</v>
      </c>
      <c r="D93" s="756"/>
      <c r="E93" s="720">
        <f>'5. Presup. Sector 4'!E93</f>
        <v>8.1300000000000008</v>
      </c>
      <c r="F93" s="633" t="s">
        <v>94</v>
      </c>
      <c r="G93" s="622" t="s">
        <v>79</v>
      </c>
      <c r="H93" s="629"/>
      <c r="I93" s="630"/>
      <c r="J93" s="631"/>
      <c r="K93" s="630"/>
      <c r="L93" s="630"/>
      <c r="M93" s="630"/>
      <c r="N93" s="901"/>
      <c r="O93" s="629">
        <f>'FORMATO PROPUESTA ECONÓMICA'!E91</f>
        <v>0</v>
      </c>
      <c r="P93" s="911">
        <f t="shared" si="6"/>
        <v>0</v>
      </c>
      <c r="Q93" s="755"/>
      <c r="R93" s="616"/>
      <c r="S93" s="1120"/>
    </row>
    <row r="94" spans="2:19" ht="30" hidden="1" x14ac:dyDescent="0.25">
      <c r="B94" s="750"/>
      <c r="C94" s="752" t="e">
        <f>'FORMATO PROPUESTA ECONÓMICA'!#REF!</f>
        <v>#REF!</v>
      </c>
      <c r="D94" s="756"/>
      <c r="E94" s="720">
        <f>'5. Presup. Sector 4'!E94</f>
        <v>8.14</v>
      </c>
      <c r="F94" s="633" t="s">
        <v>95</v>
      </c>
      <c r="G94" s="622" t="s">
        <v>79</v>
      </c>
      <c r="H94" s="629"/>
      <c r="I94" s="630"/>
      <c r="J94" s="631"/>
      <c r="K94" s="630"/>
      <c r="L94" s="630"/>
      <c r="M94" s="630"/>
      <c r="N94" s="901"/>
      <c r="O94" s="629">
        <f>'FORMATO PROPUESTA ECONÓMICA'!E92</f>
        <v>0</v>
      </c>
      <c r="P94" s="911">
        <f t="shared" si="6"/>
        <v>0</v>
      </c>
      <c r="Q94" s="755"/>
      <c r="R94" s="616"/>
      <c r="S94" s="1120"/>
    </row>
    <row r="95" spans="2:19" ht="30" x14ac:dyDescent="0.25">
      <c r="B95" s="750"/>
      <c r="C95" s="752" t="e">
        <f>'FORMATO PROPUESTA ECONÓMICA'!#REF!</f>
        <v>#REF!</v>
      </c>
      <c r="D95" s="756"/>
      <c r="E95" s="720">
        <f>'5. Presup. Sector 4'!E95</f>
        <v>8.15</v>
      </c>
      <c r="F95" s="633" t="s">
        <v>96</v>
      </c>
      <c r="G95" s="622" t="s">
        <v>79</v>
      </c>
      <c r="H95" s="629"/>
      <c r="I95" s="630"/>
      <c r="J95" s="631"/>
      <c r="K95" s="630"/>
      <c r="L95" s="630"/>
      <c r="M95" s="630"/>
      <c r="N95" s="901">
        <v>3</v>
      </c>
      <c r="O95" s="629">
        <f>'FORMATO PROPUESTA ECONÓMICA'!E93</f>
        <v>0</v>
      </c>
      <c r="P95" s="911">
        <f t="shared" si="6"/>
        <v>0</v>
      </c>
      <c r="Q95" s="755"/>
      <c r="R95" s="616"/>
      <c r="S95" s="1120"/>
    </row>
    <row r="96" spans="2:19" ht="30" x14ac:dyDescent="0.25">
      <c r="B96" s="750"/>
      <c r="C96" s="752" t="e">
        <f>'FORMATO PROPUESTA ECONÓMICA'!#REF!</f>
        <v>#REF!</v>
      </c>
      <c r="D96" s="756"/>
      <c r="E96" s="720">
        <f>'5. Presup. Sector 4'!E96</f>
        <v>8.16</v>
      </c>
      <c r="F96" s="633" t="s">
        <v>463</v>
      </c>
      <c r="G96" s="622" t="s">
        <v>79</v>
      </c>
      <c r="H96" s="629"/>
      <c r="I96" s="630"/>
      <c r="J96" s="631"/>
      <c r="K96" s="630"/>
      <c r="L96" s="630"/>
      <c r="M96" s="630"/>
      <c r="N96" s="901">
        <v>3</v>
      </c>
      <c r="O96" s="629">
        <f>'FORMATO PROPUESTA ECONÓMICA'!E94</f>
        <v>0</v>
      </c>
      <c r="P96" s="911">
        <f t="shared" si="6"/>
        <v>0</v>
      </c>
      <c r="Q96" s="755"/>
      <c r="R96" s="616"/>
      <c r="S96" s="1120"/>
    </row>
    <row r="97" spans="2:19" ht="60" x14ac:dyDescent="0.25">
      <c r="B97" s="750"/>
      <c r="C97" s="841"/>
      <c r="D97" s="758"/>
      <c r="E97" s="732">
        <f>'5. Presup. Sector 4'!E97</f>
        <v>9</v>
      </c>
      <c r="F97" s="43" t="s">
        <v>447</v>
      </c>
      <c r="G97" s="807"/>
      <c r="H97" s="39"/>
      <c r="I97" s="40"/>
      <c r="J97" s="41"/>
      <c r="K97" s="40"/>
      <c r="L97" s="40"/>
      <c r="M97" s="40"/>
      <c r="N97" s="962"/>
      <c r="O97" s="39"/>
      <c r="P97" s="912"/>
      <c r="Q97" s="755"/>
      <c r="R97" s="616"/>
      <c r="S97" s="1120"/>
    </row>
    <row r="98" spans="2:19" hidden="1" x14ac:dyDescent="0.25">
      <c r="B98" s="750"/>
      <c r="C98" s="752"/>
      <c r="D98" s="756"/>
      <c r="E98" s="734">
        <f>'5. Presup. Sector 4'!E98</f>
        <v>9.1</v>
      </c>
      <c r="F98" s="633" t="s">
        <v>450</v>
      </c>
      <c r="G98" s="622" t="s">
        <v>79</v>
      </c>
      <c r="H98" s="629"/>
      <c r="I98" s="630"/>
      <c r="J98" s="631"/>
      <c r="K98" s="630"/>
      <c r="L98" s="630"/>
      <c r="M98" s="630"/>
      <c r="N98" s="963"/>
      <c r="O98" s="39">
        <f>'FORMATO PROPUESTA ECONÓMICA'!E96</f>
        <v>0</v>
      </c>
      <c r="P98" s="911">
        <f t="shared" si="6"/>
        <v>0</v>
      </c>
      <c r="Q98" s="755"/>
      <c r="R98" s="616"/>
      <c r="S98" s="1120"/>
    </row>
    <row r="99" spans="2:19" hidden="1" x14ac:dyDescent="0.25">
      <c r="B99" s="750"/>
      <c r="C99" s="752"/>
      <c r="D99" s="756"/>
      <c r="E99" s="734" t="e">
        <f>'5. Presup. Sector 4'!E99</f>
        <v>#REF!</v>
      </c>
      <c r="F99" s="633" t="s">
        <v>451</v>
      </c>
      <c r="G99" s="622" t="s">
        <v>79</v>
      </c>
      <c r="H99" s="629"/>
      <c r="I99" s="630"/>
      <c r="J99" s="631"/>
      <c r="K99" s="630"/>
      <c r="L99" s="630"/>
      <c r="M99" s="630"/>
      <c r="N99" s="963"/>
      <c r="O99" s="39" t="e">
        <f>'FORMATO PROPUESTA ECONÓMICA'!#REF!</f>
        <v>#REF!</v>
      </c>
      <c r="P99" s="911" t="str">
        <f t="shared" si="6"/>
        <v/>
      </c>
      <c r="Q99" s="755"/>
      <c r="R99" s="616"/>
      <c r="S99" s="1120"/>
    </row>
    <row r="100" spans="2:19" x14ac:dyDescent="0.25">
      <c r="B100" s="750"/>
      <c r="C100" s="841"/>
      <c r="D100" s="758"/>
      <c r="E100" s="732">
        <f>'5. Presup. Sector 4'!E100</f>
        <v>10</v>
      </c>
      <c r="F100" s="770" t="s">
        <v>97</v>
      </c>
      <c r="G100" s="807"/>
      <c r="H100" s="39"/>
      <c r="I100" s="40"/>
      <c r="J100" s="41"/>
      <c r="K100" s="40"/>
      <c r="L100" s="40"/>
      <c r="M100" s="40"/>
      <c r="N100" s="962"/>
      <c r="O100" s="39"/>
      <c r="P100" s="912"/>
      <c r="Q100" s="755"/>
      <c r="R100" s="616"/>
      <c r="S100" s="1120"/>
    </row>
    <row r="101" spans="2:19" ht="60" hidden="1" x14ac:dyDescent="0.25">
      <c r="B101" s="750"/>
      <c r="C101" s="842"/>
      <c r="D101" s="775"/>
      <c r="E101" s="734" t="str">
        <f>'5. Presup. Sector 4'!E101</f>
        <v>10.1</v>
      </c>
      <c r="F101" s="32" t="s">
        <v>444</v>
      </c>
      <c r="G101" s="970" t="s">
        <v>79</v>
      </c>
      <c r="H101" s="716"/>
      <c r="I101" s="717"/>
      <c r="J101" s="718"/>
      <c r="K101" s="717"/>
      <c r="L101" s="717"/>
      <c r="M101" s="717"/>
      <c r="N101" s="963"/>
      <c r="O101" s="629">
        <f>'FORMATO PROPUESTA ECONÓMICA'!E126</f>
        <v>0</v>
      </c>
      <c r="P101" s="911">
        <f t="shared" si="6"/>
        <v>0</v>
      </c>
      <c r="Q101" s="755"/>
      <c r="R101" s="616"/>
      <c r="S101" s="1120"/>
    </row>
    <row r="102" spans="2:19" ht="60" x14ac:dyDescent="0.25">
      <c r="B102" s="750"/>
      <c r="C102" s="752" t="e">
        <f>'FORMATO PROPUESTA ECONÓMICA'!#REF!</f>
        <v>#REF!</v>
      </c>
      <c r="D102" s="753"/>
      <c r="E102" s="734">
        <f>'5. Presup. Sector 4'!E102</f>
        <v>10.199999999999999</v>
      </c>
      <c r="F102" s="32" t="s">
        <v>444</v>
      </c>
      <c r="G102" s="622" t="s">
        <v>79</v>
      </c>
      <c r="H102" s="629"/>
      <c r="I102" s="630"/>
      <c r="J102" s="631"/>
      <c r="K102" s="630"/>
      <c r="L102" s="630"/>
      <c r="M102" s="630"/>
      <c r="N102" s="773">
        <f>N76</f>
        <v>210</v>
      </c>
      <c r="O102" s="629">
        <f>'FORMATO PROPUESTA ECONÓMICA'!E127</f>
        <v>0</v>
      </c>
      <c r="P102" s="623">
        <f t="shared" ref="P102:P107" si="7">IF(ISERROR(+N102*O102),"",+N102*O102)</f>
        <v>0</v>
      </c>
      <c r="Q102" s="755"/>
      <c r="R102" s="616"/>
      <c r="S102" s="1120"/>
    </row>
    <row r="103" spans="2:19" ht="60" x14ac:dyDescent="0.25">
      <c r="B103" s="750" t="str">
        <f>+'[3]5.Domiciliarias Colector La Yuq'!C18</f>
        <v>Reparación de pavimento</v>
      </c>
      <c r="C103" s="752" t="e">
        <f>'FORMATO PROPUESTA ECONÓMICA'!#REF!</f>
        <v>#REF!</v>
      </c>
      <c r="D103" s="753"/>
      <c r="E103" s="734" t="str">
        <f>'5. Presup. Sector 4'!E103</f>
        <v>10.3</v>
      </c>
      <c r="F103" s="633" t="s">
        <v>98</v>
      </c>
      <c r="G103" s="622" t="s">
        <v>79</v>
      </c>
      <c r="H103" s="629">
        <f>IF(ISERROR(VLOOKUP($D103,[4]Ppto!$A$3:$F$100,4,)),0,VLOOKUP($D103,[4]Ppto!$A$3:$F$100,4,))</f>
        <v>0</v>
      </c>
      <c r="I103" s="630">
        <f>IF(ISERROR(VLOOKUP($D103,[4]Ppto!$A$3:$F$100,5,)),0,VLOOKUP($D103,[4]Ppto!$A$3:$F$100,5,))</f>
        <v>0</v>
      </c>
      <c r="J103" s="631">
        <v>1</v>
      </c>
      <c r="K103" s="630">
        <f t="shared" ref="K103:K110" si="8">+I103-O103</f>
        <v>0</v>
      </c>
      <c r="L103" s="630">
        <f t="shared" si="0"/>
        <v>0</v>
      </c>
      <c r="M103" s="630">
        <f t="shared" ref="M103:M110" si="9">+L103-P103</f>
        <v>0</v>
      </c>
      <c r="N103" s="757">
        <f>5+N96</f>
        <v>8</v>
      </c>
      <c r="O103" s="629">
        <f>'FORMATO PROPUESTA ECONÓMICA'!E128</f>
        <v>0</v>
      </c>
      <c r="P103" s="837">
        <f t="shared" si="7"/>
        <v>0</v>
      </c>
      <c r="Q103" s="755"/>
      <c r="R103" s="616"/>
      <c r="S103" s="1120"/>
    </row>
    <row r="104" spans="2:19" x14ac:dyDescent="0.25">
      <c r="B104" s="777" t="str">
        <f>+'[3]5.Domiciliarias Colector La Yuq'!C19</f>
        <v>Construcción de pavimento</v>
      </c>
      <c r="C104" s="752" t="e">
        <f>'FORMATO PROPUESTA ECONÓMICA'!#REF!</f>
        <v>#REF!</v>
      </c>
      <c r="D104" s="753"/>
      <c r="E104" s="734" t="str">
        <f>'5. Presup. Sector 4'!E104</f>
        <v>10.4</v>
      </c>
      <c r="F104" s="633" t="s">
        <v>99</v>
      </c>
      <c r="G104" s="622" t="s">
        <v>59</v>
      </c>
      <c r="H104" s="629">
        <f>IF(ISERROR(VLOOKUP($D104,[4]Ppto!$A$3:$F$100,4,)),0,VLOOKUP($D104,[4]Ppto!$A$3:$F$100,4,))</f>
        <v>0</v>
      </c>
      <c r="I104" s="630">
        <f>IF(ISERROR(VLOOKUP($D104,[4]Ppto!$A$3:$F$100,5,)),0,VLOOKUP($D104,[4]Ppto!$A$3:$F$100,5,))</f>
        <v>0</v>
      </c>
      <c r="J104" s="631">
        <v>1</v>
      </c>
      <c r="K104" s="630">
        <f t="shared" si="8"/>
        <v>0</v>
      </c>
      <c r="L104" s="630">
        <f t="shared" si="0"/>
        <v>0</v>
      </c>
      <c r="M104" s="630">
        <f t="shared" si="9"/>
        <v>0</v>
      </c>
      <c r="N104" s="901">
        <v>3931.5412429886919</v>
      </c>
      <c r="O104" s="629">
        <f>'FORMATO PROPUESTA ECONÓMICA'!E129</f>
        <v>0</v>
      </c>
      <c r="P104" s="911">
        <f t="shared" si="7"/>
        <v>0</v>
      </c>
      <c r="Q104" s="755"/>
      <c r="R104" s="616"/>
      <c r="S104" s="1120"/>
    </row>
    <row r="105" spans="2:19" x14ac:dyDescent="0.25">
      <c r="B105" s="777" t="str">
        <f>+'[3]5.Domiciliarias Colector La Yuq'!C20</f>
        <v>Construcción de cajas  0.6x0.6x0.8 m</v>
      </c>
      <c r="C105" s="752" t="e">
        <f>'FORMATO PROPUESTA ECONÓMICA'!#REF!</f>
        <v>#REF!</v>
      </c>
      <c r="D105" s="753"/>
      <c r="E105" s="734">
        <f>'5. Presup. Sector 4'!E105</f>
        <v>10.5</v>
      </c>
      <c r="F105" s="633" t="s">
        <v>100</v>
      </c>
      <c r="G105" s="622" t="s">
        <v>15</v>
      </c>
      <c r="H105" s="629">
        <f>IF(ISERROR(VLOOKUP($D105,[4]Ppto!$A$3:$F$100,4,)),0,VLOOKUP($D105,[4]Ppto!$A$3:$F$100,4,))</f>
        <v>0</v>
      </c>
      <c r="I105" s="630">
        <f>IF(ISERROR(VLOOKUP($D105,[4]Ppto!$A$3:$F$100,5,)),0,VLOOKUP($D105,[4]Ppto!$A$3:$F$100,5,))</f>
        <v>0</v>
      </c>
      <c r="J105" s="631">
        <v>1</v>
      </c>
      <c r="K105" s="630">
        <f t="shared" si="8"/>
        <v>0</v>
      </c>
      <c r="L105" s="630">
        <f t="shared" si="0"/>
        <v>0</v>
      </c>
      <c r="M105" s="630">
        <f t="shared" si="9"/>
        <v>0</v>
      </c>
      <c r="N105" s="967">
        <v>0.79999600146588434</v>
      </c>
      <c r="O105" s="629">
        <f>'FORMATO PROPUESTA ECONÓMICA'!E130</f>
        <v>0</v>
      </c>
      <c r="P105" s="911">
        <f t="shared" si="7"/>
        <v>0</v>
      </c>
      <c r="Q105" s="755"/>
      <c r="R105" s="616"/>
      <c r="S105" s="1120"/>
    </row>
    <row r="106" spans="2:19" ht="45" x14ac:dyDescent="0.25">
      <c r="B106" s="777" t="str">
        <f>+'[3]5.Domiciliarias Colector La Yuq'!C21</f>
        <v>De empalme en andén o zona verde, para domiciliarias de alcantarillado.  Incluye acabado de la tapa según andén existente</v>
      </c>
      <c r="C106" s="752" t="e">
        <f>'FORMATO PROPUESTA ECONÓMICA'!#REF!</f>
        <v>#REF!</v>
      </c>
      <c r="D106" s="753"/>
      <c r="E106" s="734">
        <f>'5. Presup. Sector 4'!E106</f>
        <v>10.6</v>
      </c>
      <c r="F106" s="633" t="s">
        <v>101</v>
      </c>
      <c r="G106" s="622" t="s">
        <v>352</v>
      </c>
      <c r="H106" s="629">
        <f>IF(ISERROR(VLOOKUP($D106,[4]Ppto!$A$3:$F$100,4,)),0,VLOOKUP($D106,[4]Ppto!$A$3:$F$100,4,))</f>
        <v>0</v>
      </c>
      <c r="I106" s="630">
        <f>IF(ISERROR(VLOOKUP($D106,[4]Ppto!$A$3:$F$100,5,)),0,VLOOKUP($D106,[4]Ppto!$A$3:$F$100,5,))</f>
        <v>0</v>
      </c>
      <c r="J106" s="631">
        <v>1</v>
      </c>
      <c r="K106" s="630">
        <f t="shared" si="8"/>
        <v>0</v>
      </c>
      <c r="L106" s="630">
        <f t="shared" si="0"/>
        <v>0</v>
      </c>
      <c r="M106" s="630">
        <f t="shared" si="9"/>
        <v>0</v>
      </c>
      <c r="N106" s="901">
        <v>327.57203974015744</v>
      </c>
      <c r="O106" s="629">
        <f>'FORMATO PROPUESTA ECONÓMICA'!E131</f>
        <v>0</v>
      </c>
      <c r="P106" s="911">
        <f t="shared" si="7"/>
        <v>0</v>
      </c>
      <c r="Q106" s="755"/>
      <c r="R106" s="616"/>
      <c r="S106" s="1120"/>
    </row>
    <row r="107" spans="2:19" ht="30" hidden="1" x14ac:dyDescent="0.25">
      <c r="B107" s="777"/>
      <c r="C107" s="752"/>
      <c r="D107" s="753"/>
      <c r="E107" s="734">
        <f>'5. Presup. Sector 4'!E107</f>
        <v>10.7</v>
      </c>
      <c r="F107" s="633" t="s">
        <v>465</v>
      </c>
      <c r="G107" s="622" t="s">
        <v>16</v>
      </c>
      <c r="H107" s="629"/>
      <c r="I107" s="630"/>
      <c r="J107" s="631"/>
      <c r="K107" s="630"/>
      <c r="L107" s="630"/>
      <c r="M107" s="630"/>
      <c r="N107" s="901"/>
      <c r="O107" s="629">
        <f>'FORMATO PROPUESTA ECONÓMICA'!E132</f>
        <v>0</v>
      </c>
      <c r="P107" s="911">
        <f t="shared" si="7"/>
        <v>0</v>
      </c>
      <c r="Q107" s="755"/>
      <c r="R107" s="616"/>
      <c r="S107" s="1120"/>
    </row>
    <row r="108" spans="2:19" x14ac:dyDescent="0.25">
      <c r="B108" s="750" t="str">
        <f>+'[3]1. Colector Principal'!C51</f>
        <v>Suministro e Intalación de geotextil para la protección del lleno en la zanja</v>
      </c>
      <c r="C108" s="841" t="e">
        <f>'FORMATO PROPUESTA ECONÓMICA'!#REF!</f>
        <v>#REF!</v>
      </c>
      <c r="D108" s="758"/>
      <c r="E108" s="732">
        <f>'5. Presup. Sector 4'!E108</f>
        <v>11</v>
      </c>
      <c r="F108" s="778" t="s">
        <v>102</v>
      </c>
      <c r="G108" s="779"/>
      <c r="H108" s="39">
        <f>IF(ISERROR(VLOOKUP($D108,[4]Ppto!$A$3:$F$100,4,)),0,VLOOKUP($D108,[4]Ppto!$A$3:$F$100,4,))</f>
        <v>0</v>
      </c>
      <c r="I108" s="40">
        <f>IF(ISERROR(VLOOKUP($D108,[4]Ppto!$A$3:$F$100,5,)),0,VLOOKUP($D108,[4]Ppto!$A$3:$F$100,5,))</f>
        <v>0</v>
      </c>
      <c r="J108" s="41">
        <v>1</v>
      </c>
      <c r="K108" s="40">
        <f t="shared" si="8"/>
        <v>0</v>
      </c>
      <c r="L108" s="40">
        <f t="shared" si="0"/>
        <v>0</v>
      </c>
      <c r="M108" s="40">
        <f t="shared" si="9"/>
        <v>0</v>
      </c>
      <c r="N108" s="943"/>
      <c r="O108" s="39"/>
      <c r="P108" s="912"/>
      <c r="Q108" s="755"/>
      <c r="R108" s="616"/>
      <c r="S108" s="1120"/>
    </row>
    <row r="109" spans="2:19" ht="30" hidden="1" x14ac:dyDescent="0.25">
      <c r="B109" s="750" t="str">
        <f>+'[3]1. Colector Principal'!C52</f>
        <v>Geotextil No tejido por cada 100m2</v>
      </c>
      <c r="C109" s="752" t="e">
        <f>'FORMATO PROPUESTA ECONÓMICA'!#REF!</f>
        <v>#REF!</v>
      </c>
      <c r="D109" s="756"/>
      <c r="E109" s="734">
        <f>'5. Presup. Sector 4'!E109</f>
        <v>11.1</v>
      </c>
      <c r="F109" s="633" t="s">
        <v>103</v>
      </c>
      <c r="G109" s="622" t="s">
        <v>15</v>
      </c>
      <c r="H109" s="629">
        <f>IF(ISERROR(VLOOKUP($D109,[4]Ppto!$A$3:$F$100,4,)),0,VLOOKUP($D109,[4]Ppto!$A$3:$F$100,4,))</f>
        <v>0</v>
      </c>
      <c r="I109" s="630">
        <f>IF(ISERROR(VLOOKUP($D109,[4]Ppto!$A$3:$F$100,5,)),0,VLOOKUP($D109,[4]Ppto!$A$3:$F$100,5,))</f>
        <v>0</v>
      </c>
      <c r="J109" s="631">
        <v>1.0000020789169788</v>
      </c>
      <c r="K109" s="630">
        <f t="shared" si="8"/>
        <v>0</v>
      </c>
      <c r="L109" s="630">
        <f t="shared" si="0"/>
        <v>0</v>
      </c>
      <c r="M109" s="630">
        <f t="shared" si="9"/>
        <v>0</v>
      </c>
      <c r="N109" s="1017"/>
      <c r="O109" s="629">
        <f>'FORMATO PROPUESTA ECONÓMICA'!E134</f>
        <v>0</v>
      </c>
      <c r="P109" s="911">
        <f>IF(ISERROR(+N109*O109),"",+N109*O109)</f>
        <v>0</v>
      </c>
      <c r="Q109" s="755"/>
      <c r="R109" s="616"/>
      <c r="S109" s="1120"/>
    </row>
    <row r="110" spans="2:19" x14ac:dyDescent="0.25">
      <c r="B110" s="750" t="str">
        <f>+'[3]1. Colector Principal'!C53</f>
        <v>Pilotes de madera Inmunizada Ø=0.15</v>
      </c>
      <c r="C110" s="752" t="e">
        <f>'FORMATO PROPUESTA ECONÓMICA'!#REF!</f>
        <v>#REF!</v>
      </c>
      <c r="D110" s="756"/>
      <c r="E110" s="734">
        <f>'5. Presup. Sector 4'!E110</f>
        <v>11.2</v>
      </c>
      <c r="F110" s="633" t="s">
        <v>104</v>
      </c>
      <c r="G110" s="622" t="s">
        <v>15</v>
      </c>
      <c r="H110" s="629">
        <f>IF(ISERROR(VLOOKUP($D110,[4]Ppto!$A$3:$F$100,4,)),0,VLOOKUP($D110,[4]Ppto!$A$3:$F$100,4,))</f>
        <v>0</v>
      </c>
      <c r="I110" s="630">
        <f>IF(ISERROR(VLOOKUP($D110,[4]Ppto!$A$3:$F$100,5,)),0,VLOOKUP($D110,[4]Ppto!$A$3:$F$100,5,))</f>
        <v>0</v>
      </c>
      <c r="J110" s="631">
        <v>1.0000000000000002</v>
      </c>
      <c r="K110" s="630">
        <f t="shared" si="8"/>
        <v>0</v>
      </c>
      <c r="L110" s="630">
        <f t="shared" si="0"/>
        <v>0</v>
      </c>
      <c r="M110" s="630">
        <f t="shared" si="9"/>
        <v>0</v>
      </c>
      <c r="N110" s="1018">
        <f>808*0.2*0.6+0.65</f>
        <v>97.610000000000014</v>
      </c>
      <c r="O110" s="629">
        <f>'FORMATO PROPUESTA ECONÓMICA'!E135</f>
        <v>0</v>
      </c>
      <c r="P110" s="911">
        <f>IF(ISERROR(+N110*O110),"",+N110*O110)</f>
        <v>0</v>
      </c>
      <c r="Q110" s="755"/>
      <c r="R110" s="616"/>
      <c r="S110" s="1120"/>
    </row>
    <row r="111" spans="2:19" ht="60" x14ac:dyDescent="0.25">
      <c r="B111" s="750"/>
      <c r="C111" s="752" t="e">
        <f>'FORMATO PROPUESTA ECONÓMICA'!#REF!</f>
        <v>#REF!</v>
      </c>
      <c r="D111" s="753"/>
      <c r="E111" s="734">
        <f>'5. Presup. Sector 4'!E111</f>
        <v>11.3</v>
      </c>
      <c r="F111" s="633" t="s">
        <v>105</v>
      </c>
      <c r="G111" s="622" t="s">
        <v>15</v>
      </c>
      <c r="H111" s="629"/>
      <c r="I111" s="630"/>
      <c r="J111" s="631"/>
      <c r="K111" s="630"/>
      <c r="L111" s="630"/>
      <c r="M111" s="630"/>
      <c r="N111" s="1019">
        <f>N110</f>
        <v>97.610000000000014</v>
      </c>
      <c r="O111" s="629">
        <f>'FORMATO PROPUESTA ECONÓMICA'!E136</f>
        <v>0</v>
      </c>
      <c r="P111" s="837">
        <f>IF(ISERROR(+N111*O111),"",+N111*O111)</f>
        <v>0</v>
      </c>
      <c r="Q111" s="755"/>
      <c r="R111" s="616"/>
      <c r="S111" s="1120"/>
    </row>
    <row r="112" spans="2:19" ht="45" hidden="1" x14ac:dyDescent="0.25">
      <c r="B112" s="750"/>
      <c r="C112" s="752" t="e">
        <f>'FORMATO PROPUESTA ECONÓMICA'!#REF!</f>
        <v>#REF!</v>
      </c>
      <c r="D112" s="753"/>
      <c r="E112" s="734">
        <f>'5. Presup. Sector 4'!E112</f>
        <v>11.4</v>
      </c>
      <c r="F112" s="633" t="s">
        <v>106</v>
      </c>
      <c r="G112" s="622" t="s">
        <v>15</v>
      </c>
      <c r="H112" s="629">
        <f>IF(ISERROR(VLOOKUP($D112,[4]Ppto!$A$3:$F$100,4,)),0,VLOOKUP($D112,[4]Ppto!$A$3:$F$100,4,))</f>
        <v>0</v>
      </c>
      <c r="I112" s="630">
        <f>IF(ISERROR(VLOOKUP($D112,[4]Ppto!$A$3:$F$100,5,)),0,VLOOKUP($D112,[4]Ppto!$A$3:$F$100,5,))</f>
        <v>0</v>
      </c>
      <c r="J112" s="631">
        <v>0.99996823491225251</v>
      </c>
      <c r="K112" s="630">
        <f>+I112-O112</f>
        <v>0</v>
      </c>
      <c r="L112" s="630">
        <f t="shared" ref="L112" si="10">+H112*I112</f>
        <v>0</v>
      </c>
      <c r="M112" s="630">
        <f>+L112-P112</f>
        <v>0</v>
      </c>
      <c r="N112" s="968"/>
      <c r="O112" s="629">
        <f>'FORMATO PROPUESTA ECONÓMICA'!E137</f>
        <v>0</v>
      </c>
      <c r="P112" s="911">
        <f>IF(ISERROR(+N112*O112),"",+N112*O112)</f>
        <v>0</v>
      </c>
      <c r="Q112" s="755"/>
      <c r="R112" s="616"/>
      <c r="S112" s="1120"/>
    </row>
    <row r="113" spans="2:19" hidden="1" x14ac:dyDescent="0.25">
      <c r="B113" s="750"/>
      <c r="C113" s="841"/>
      <c r="D113" s="758"/>
      <c r="E113" s="732">
        <f>'5. Presup. Sector 4'!E113</f>
        <v>12</v>
      </c>
      <c r="F113" s="45" t="s">
        <v>350</v>
      </c>
      <c r="G113" s="807"/>
      <c r="H113" s="39"/>
      <c r="I113" s="40"/>
      <c r="J113" s="41"/>
      <c r="K113" s="40"/>
      <c r="L113" s="40"/>
      <c r="M113" s="40"/>
      <c r="N113" s="966"/>
      <c r="O113" s="629">
        <f>'FORMATO PROPUESTA ECONÓMICA'!E138</f>
        <v>0</v>
      </c>
      <c r="P113" s="912"/>
      <c r="Q113" s="755"/>
      <c r="R113" s="616"/>
      <c r="S113" s="1120"/>
    </row>
    <row r="114" spans="2:19" hidden="1" x14ac:dyDescent="0.25">
      <c r="B114" s="750" t="str">
        <f>+'[3]1. Colector Principal'!C54</f>
        <v>Elaboración y Colocación de Concreto 2500 PSI para anclajes (incluye formaletería y Clavos)</v>
      </c>
      <c r="C114" s="752" t="e">
        <f>'FORMATO PROPUESTA ECONÓMICA'!#REF!</f>
        <v>#REF!</v>
      </c>
      <c r="D114" s="756"/>
      <c r="E114" s="734">
        <f>'5. Presup. Sector 4'!E114</f>
        <v>12.1</v>
      </c>
      <c r="F114" s="627" t="s">
        <v>351</v>
      </c>
      <c r="G114" s="622" t="s">
        <v>79</v>
      </c>
      <c r="H114" s="629">
        <v>118716.25</v>
      </c>
      <c r="I114" s="630"/>
      <c r="J114" s="631"/>
      <c r="K114" s="630"/>
      <c r="L114" s="630"/>
      <c r="M114" s="630"/>
      <c r="N114" s="969">
        <f>N96+N95+N94+N93+N92+N91+N89+N88+N84+N83+N82+N81+N63+N62+N61+N60+N59+N58+N57+N56+N55+N54+N53+N52+N51+N50+N49+N48+N47+N45+N44+N43+N42+N41+N40+N38+N37</f>
        <v>106</v>
      </c>
      <c r="O114" s="629">
        <f>'FORMATO PROPUESTA ECONÓMICA'!E139</f>
        <v>0</v>
      </c>
      <c r="P114" s="911">
        <f>IF(ISERROR(+N114*O114),"",+N114*O114)</f>
        <v>0</v>
      </c>
      <c r="Q114" s="755"/>
      <c r="R114" s="616"/>
      <c r="S114" s="1120"/>
    </row>
    <row r="115" spans="2:19" x14ac:dyDescent="0.25">
      <c r="B115" s="750">
        <f>+'[3]1. Colector Principal'!C64</f>
        <v>0</v>
      </c>
      <c r="C115" s="841" t="e">
        <f>'FORMATO PROPUESTA ECONÓMICA'!#REF!</f>
        <v>#REF!</v>
      </c>
      <c r="D115" s="758"/>
      <c r="E115" s="735"/>
      <c r="F115" s="43" t="s">
        <v>18</v>
      </c>
      <c r="G115" s="807"/>
      <c r="H115" s="39">
        <f>IF(ISERROR(VLOOKUP($D115,[4]Ppto!$A$3:$F$100,4,)),0,VLOOKUP($D115,[4]Ppto!$A$3:$F$100,4,))</f>
        <v>0</v>
      </c>
      <c r="I115" s="40">
        <f>IF(ISERROR(VLOOKUP($D115,[4]Ppto!$A$3:$F$100,5,)),0,VLOOKUP($D115,[4]Ppto!$A$3:$F$100,5,))</f>
        <v>0</v>
      </c>
      <c r="J115" s="41">
        <v>1</v>
      </c>
      <c r="K115" s="40">
        <f>+I115-O115</f>
        <v>0</v>
      </c>
      <c r="L115" s="40">
        <f t="shared" ref="L115:L116" si="11">+H115*I115</f>
        <v>0</v>
      </c>
      <c r="M115" s="40">
        <f>+L115-P115</f>
        <v>0</v>
      </c>
      <c r="N115" s="39"/>
      <c r="O115" s="39"/>
      <c r="P115" s="912"/>
      <c r="Q115" s="755"/>
      <c r="R115" s="616"/>
      <c r="S115" s="1120"/>
    </row>
    <row r="116" spans="2:19" ht="30" x14ac:dyDescent="0.25">
      <c r="B116" s="750" t="str">
        <f>+'[3]1. Colector Principal'!C65</f>
        <v>Suministro e Instalaciób  de tubería de PE para Acueducto PE 100 PN 6 RDE 26,(incluye nivelación)  en los siguientes diámetros nominales:</v>
      </c>
      <c r="C116" s="841" t="e">
        <f>'FORMATO PROPUESTA ECONÓMICA'!#REF!</f>
        <v>#REF!</v>
      </c>
      <c r="D116" s="758"/>
      <c r="E116" s="732" t="e">
        <f>'5. Presup. Sector 4'!E116</f>
        <v>#REF!</v>
      </c>
      <c r="F116" s="43" t="s">
        <v>367</v>
      </c>
      <c r="G116" s="807"/>
      <c r="H116" s="39">
        <f>IF(ISERROR(VLOOKUP($D116,[4]Ppto!$A$3:$F$100,4,)),0,VLOOKUP($D116,[4]Ppto!$A$3:$F$100,4,))</f>
        <v>0</v>
      </c>
      <c r="I116" s="40">
        <f>IF(ISERROR(VLOOKUP($D116,[4]Ppto!$A$3:$F$100,5,)),0,VLOOKUP($D116,[4]Ppto!$A$3:$F$100,5,))</f>
        <v>0</v>
      </c>
      <c r="J116" s="41">
        <v>1</v>
      </c>
      <c r="K116" s="40">
        <f>+I116-O116</f>
        <v>0</v>
      </c>
      <c r="L116" s="40">
        <f t="shared" si="11"/>
        <v>0</v>
      </c>
      <c r="M116" s="40">
        <f>+L116-P116</f>
        <v>0</v>
      </c>
      <c r="N116" s="39"/>
      <c r="O116" s="39"/>
      <c r="P116" s="912">
        <f>SUM(P11:P115)</f>
        <v>0</v>
      </c>
      <c r="Q116" s="755"/>
      <c r="R116" s="616"/>
      <c r="S116" s="1120"/>
    </row>
    <row r="117" spans="2:19" hidden="1" x14ac:dyDescent="0.25">
      <c r="B117" s="750"/>
      <c r="C117" s="752" t="e">
        <f>'FORMATO PROPUESTA ECONÓMICA'!#REF!</f>
        <v>#REF!</v>
      </c>
      <c r="D117" s="756"/>
      <c r="E117" s="734" t="e">
        <f>'5. Presup. Sector 4'!E117</f>
        <v>#REF!</v>
      </c>
      <c r="F117" s="633" t="s">
        <v>368</v>
      </c>
      <c r="G117" s="622" t="str">
        <f t="shared" ref="G117:N126" si="12">G35</f>
        <v>ml</v>
      </c>
      <c r="H117" s="628">
        <f t="shared" si="12"/>
        <v>0</v>
      </c>
      <c r="I117" s="628">
        <f t="shared" si="12"/>
        <v>0</v>
      </c>
      <c r="J117" s="628">
        <f t="shared" si="12"/>
        <v>1.0000083683818088</v>
      </c>
      <c r="K117" s="628" t="e">
        <f t="shared" si="12"/>
        <v>#REF!</v>
      </c>
      <c r="L117" s="628">
        <f t="shared" si="12"/>
        <v>0</v>
      </c>
      <c r="M117" s="628">
        <f t="shared" si="12"/>
        <v>0</v>
      </c>
      <c r="N117" s="932">
        <f t="shared" si="12"/>
        <v>0</v>
      </c>
      <c r="O117" s="629">
        <v>10208</v>
      </c>
      <c r="P117" s="911">
        <f t="shared" ref="P117:P143" si="13">IF(ISERROR(+N117*O117),"",+N117*O117)</f>
        <v>0</v>
      </c>
      <c r="Q117" s="755"/>
      <c r="S117" s="1120"/>
    </row>
    <row r="118" spans="2:19" x14ac:dyDescent="0.25">
      <c r="B118" s="750" t="str">
        <f>+'[3]2.Secundarias B_Obrero'!C52</f>
        <v>Tubería PE Øint. 184.6mm</v>
      </c>
      <c r="C118" s="752" t="e">
        <f>'FORMATO PROPUESTA ECONÓMICA'!#REF!</f>
        <v>#REF!</v>
      </c>
      <c r="D118" s="756"/>
      <c r="E118" s="734" t="e">
        <f>'5. Presup. Sector 4'!E118</f>
        <v>#REF!</v>
      </c>
      <c r="F118" s="633" t="s">
        <v>404</v>
      </c>
      <c r="G118" s="622" t="str">
        <f t="shared" si="12"/>
        <v>ml</v>
      </c>
      <c r="H118" s="628">
        <f t="shared" si="12"/>
        <v>0</v>
      </c>
      <c r="I118" s="628">
        <f t="shared" si="12"/>
        <v>0</v>
      </c>
      <c r="J118" s="628">
        <f t="shared" si="12"/>
        <v>0.99995852949508546</v>
      </c>
      <c r="K118" s="628">
        <f t="shared" si="12"/>
        <v>0</v>
      </c>
      <c r="L118" s="628">
        <f t="shared" si="12"/>
        <v>0</v>
      </c>
      <c r="M118" s="628">
        <f t="shared" si="12"/>
        <v>0</v>
      </c>
      <c r="N118" s="932">
        <f t="shared" si="12"/>
        <v>3026</v>
      </c>
      <c r="O118" s="629">
        <v>13708</v>
      </c>
      <c r="P118" s="911">
        <f t="shared" si="13"/>
        <v>41480408</v>
      </c>
      <c r="Q118" s="755"/>
      <c r="S118" s="1120"/>
    </row>
    <row r="119" spans="2:19" hidden="1" x14ac:dyDescent="0.25">
      <c r="B119" s="750" t="str">
        <f>+'[3]1. Colector Principal'!C66</f>
        <v>Tubería PE Øint. 230.8mm</v>
      </c>
      <c r="C119" s="752" t="e">
        <f>'FORMATO PROPUESTA ECONÓMICA'!#REF!</f>
        <v>#REF!</v>
      </c>
      <c r="D119" s="756"/>
      <c r="E119" s="734" t="e">
        <f>'5. Presup. Sector 4'!E119</f>
        <v>#REF!</v>
      </c>
      <c r="F119" s="633" t="s">
        <v>405</v>
      </c>
      <c r="G119" s="622" t="str">
        <f t="shared" si="12"/>
        <v>ml</v>
      </c>
      <c r="H119" s="628">
        <f t="shared" si="12"/>
        <v>0</v>
      </c>
      <c r="I119" s="628">
        <f t="shared" si="12"/>
        <v>0</v>
      </c>
      <c r="J119" s="628">
        <f t="shared" si="12"/>
        <v>0</v>
      </c>
      <c r="K119" s="628">
        <f t="shared" si="12"/>
        <v>0</v>
      </c>
      <c r="L119" s="628">
        <f t="shared" si="12"/>
        <v>0</v>
      </c>
      <c r="M119" s="628">
        <f t="shared" si="12"/>
        <v>0</v>
      </c>
      <c r="N119" s="932">
        <f t="shared" si="12"/>
        <v>0</v>
      </c>
      <c r="O119" s="629">
        <v>20240</v>
      </c>
      <c r="P119" s="911">
        <f t="shared" si="13"/>
        <v>0</v>
      </c>
      <c r="Q119" s="755"/>
      <c r="S119" s="1120"/>
    </row>
    <row r="120" spans="2:19" hidden="1" x14ac:dyDescent="0.25">
      <c r="B120" s="750" t="str">
        <f>+'[3]1. Colector Principal'!C67</f>
        <v>Tubería PE Øint. 290.8mm</v>
      </c>
      <c r="C120" s="752" t="e">
        <f>'FORMATO PROPUESTA ECONÓMICA'!#REF!</f>
        <v>#REF!</v>
      </c>
      <c r="D120" s="756"/>
      <c r="E120" s="734" t="e">
        <f>'5. Presup. Sector 4'!E120</f>
        <v>#REF!</v>
      </c>
      <c r="F120" s="633" t="s">
        <v>406</v>
      </c>
      <c r="G120" s="622" t="str">
        <f t="shared" si="12"/>
        <v>ml</v>
      </c>
      <c r="H120" s="628">
        <f t="shared" si="12"/>
        <v>0</v>
      </c>
      <c r="I120" s="628">
        <f t="shared" si="12"/>
        <v>0</v>
      </c>
      <c r="J120" s="628">
        <f t="shared" si="12"/>
        <v>0</v>
      </c>
      <c r="K120" s="628">
        <f t="shared" si="12"/>
        <v>0</v>
      </c>
      <c r="L120" s="628">
        <f t="shared" si="12"/>
        <v>0</v>
      </c>
      <c r="M120" s="628">
        <f t="shared" si="12"/>
        <v>0</v>
      </c>
      <c r="N120" s="932">
        <f t="shared" si="12"/>
        <v>0</v>
      </c>
      <c r="O120" s="629">
        <v>43240</v>
      </c>
      <c r="P120" s="911">
        <f t="shared" si="13"/>
        <v>0</v>
      </c>
      <c r="Q120" s="755"/>
      <c r="S120" s="1120"/>
    </row>
    <row r="121" spans="2:19" x14ac:dyDescent="0.25">
      <c r="B121" s="750"/>
      <c r="C121" s="752" t="e">
        <f>'FORMATO PROPUESTA ECONÓMICA'!#REF!</f>
        <v>#REF!</v>
      </c>
      <c r="D121" s="756"/>
      <c r="E121" s="734" t="e">
        <f>'5. Presup. Sector 4'!E121</f>
        <v>#REF!</v>
      </c>
      <c r="F121" s="633" t="s">
        <v>407</v>
      </c>
      <c r="G121" s="622" t="str">
        <f t="shared" si="12"/>
        <v>ml</v>
      </c>
      <c r="H121" s="628">
        <f t="shared" si="12"/>
        <v>0</v>
      </c>
      <c r="I121" s="628">
        <f t="shared" si="12"/>
        <v>0</v>
      </c>
      <c r="J121" s="628">
        <f t="shared" si="12"/>
        <v>1</v>
      </c>
      <c r="K121" s="628">
        <f t="shared" si="12"/>
        <v>0</v>
      </c>
      <c r="L121" s="628">
        <f t="shared" si="12"/>
        <v>0</v>
      </c>
      <c r="M121" s="628">
        <f t="shared" si="12"/>
        <v>0</v>
      </c>
      <c r="N121" s="932">
        <f t="shared" si="12"/>
        <v>905</v>
      </c>
      <c r="O121" s="629">
        <v>97199</v>
      </c>
      <c r="P121" s="911">
        <f t="shared" si="13"/>
        <v>87965095</v>
      </c>
      <c r="Q121" s="755"/>
      <c r="S121" s="1120"/>
    </row>
    <row r="122" spans="2:19" hidden="1" x14ac:dyDescent="0.25">
      <c r="B122" s="750"/>
      <c r="C122" s="752" t="e">
        <f>'FORMATO PROPUESTA ECONÓMICA'!#REF!</f>
        <v>#REF!</v>
      </c>
      <c r="D122" s="756"/>
      <c r="E122" s="734" t="e">
        <f>'5. Presup. Sector 4'!E122</f>
        <v>#REF!</v>
      </c>
      <c r="F122" s="633" t="s">
        <v>379</v>
      </c>
      <c r="G122" s="622" t="str">
        <f t="shared" si="12"/>
        <v>und</v>
      </c>
      <c r="H122" s="628">
        <f t="shared" si="12"/>
        <v>0</v>
      </c>
      <c r="I122" s="628">
        <f t="shared" si="12"/>
        <v>0</v>
      </c>
      <c r="J122" s="628">
        <f t="shared" si="12"/>
        <v>0</v>
      </c>
      <c r="K122" s="628">
        <f t="shared" si="12"/>
        <v>0</v>
      </c>
      <c r="L122" s="628">
        <f t="shared" si="12"/>
        <v>0</v>
      </c>
      <c r="M122" s="628">
        <f t="shared" si="12"/>
        <v>0</v>
      </c>
      <c r="N122" s="932">
        <f t="shared" si="12"/>
        <v>0</v>
      </c>
      <c r="O122" s="629">
        <v>39195</v>
      </c>
      <c r="P122" s="911">
        <f t="shared" si="13"/>
        <v>0</v>
      </c>
      <c r="Q122" s="755"/>
      <c r="S122" s="1120"/>
    </row>
    <row r="123" spans="2:19" x14ac:dyDescent="0.25">
      <c r="B123" s="750"/>
      <c r="C123" s="752" t="e">
        <f>'FORMATO PROPUESTA ECONÓMICA'!#REF!</f>
        <v>#REF!</v>
      </c>
      <c r="D123" s="756"/>
      <c r="E123" s="734" t="e">
        <f>'5. Presup. Sector 4'!E123</f>
        <v>#REF!</v>
      </c>
      <c r="F123" s="633" t="s">
        <v>380</v>
      </c>
      <c r="G123" s="622" t="str">
        <f t="shared" si="12"/>
        <v>und</v>
      </c>
      <c r="H123" s="628">
        <f t="shared" si="12"/>
        <v>0</v>
      </c>
      <c r="I123" s="628">
        <f t="shared" si="12"/>
        <v>0</v>
      </c>
      <c r="J123" s="628">
        <f t="shared" si="12"/>
        <v>0</v>
      </c>
      <c r="K123" s="628">
        <f t="shared" si="12"/>
        <v>0</v>
      </c>
      <c r="L123" s="628">
        <f t="shared" si="12"/>
        <v>0</v>
      </c>
      <c r="M123" s="628">
        <f t="shared" si="12"/>
        <v>0</v>
      </c>
      <c r="N123" s="932">
        <f t="shared" si="12"/>
        <v>29</v>
      </c>
      <c r="O123" s="629">
        <v>47749</v>
      </c>
      <c r="P123" s="911">
        <f t="shared" si="13"/>
        <v>1384721</v>
      </c>
      <c r="Q123" s="755"/>
      <c r="S123" s="1120"/>
    </row>
    <row r="124" spans="2:19" x14ac:dyDescent="0.25">
      <c r="B124" s="750"/>
      <c r="C124" s="752" t="e">
        <f>'FORMATO PROPUESTA ECONÓMICA'!#REF!</f>
        <v>#REF!</v>
      </c>
      <c r="D124" s="756"/>
      <c r="E124" s="734" t="e">
        <f>'5. Presup. Sector 4'!E124</f>
        <v>#REF!</v>
      </c>
      <c r="F124" s="633" t="s">
        <v>408</v>
      </c>
      <c r="G124" s="622" t="str">
        <f t="shared" si="12"/>
        <v>und</v>
      </c>
      <c r="H124" s="628">
        <f t="shared" si="12"/>
        <v>0</v>
      </c>
      <c r="I124" s="628">
        <f t="shared" si="12"/>
        <v>0</v>
      </c>
      <c r="J124" s="628">
        <f t="shared" si="12"/>
        <v>0</v>
      </c>
      <c r="K124" s="628">
        <f t="shared" si="12"/>
        <v>0</v>
      </c>
      <c r="L124" s="628">
        <f t="shared" si="12"/>
        <v>0</v>
      </c>
      <c r="M124" s="628">
        <f t="shared" si="12"/>
        <v>0</v>
      </c>
      <c r="N124" s="932">
        <f t="shared" si="12"/>
        <v>6</v>
      </c>
      <c r="O124" s="629">
        <v>64172</v>
      </c>
      <c r="P124" s="911">
        <f t="shared" si="13"/>
        <v>385032</v>
      </c>
      <c r="Q124" s="755"/>
      <c r="S124" s="1120"/>
    </row>
    <row r="125" spans="2:19" hidden="1" x14ac:dyDescent="0.25">
      <c r="B125" s="750"/>
      <c r="C125" s="752" t="e">
        <f>'FORMATO PROPUESTA ECONÓMICA'!#REF!</f>
        <v>#REF!</v>
      </c>
      <c r="D125" s="756"/>
      <c r="E125" s="734" t="e">
        <f>'5. Presup. Sector 4'!E125</f>
        <v>#REF!</v>
      </c>
      <c r="F125" s="633" t="s">
        <v>409</v>
      </c>
      <c r="G125" s="622" t="str">
        <f t="shared" si="12"/>
        <v>und</v>
      </c>
      <c r="H125" s="628">
        <f t="shared" si="12"/>
        <v>0</v>
      </c>
      <c r="I125" s="628">
        <f t="shared" si="12"/>
        <v>0</v>
      </c>
      <c r="J125" s="628">
        <f t="shared" si="12"/>
        <v>0</v>
      </c>
      <c r="K125" s="628">
        <f t="shared" si="12"/>
        <v>0</v>
      </c>
      <c r="L125" s="628">
        <f t="shared" si="12"/>
        <v>0</v>
      </c>
      <c r="M125" s="628">
        <f t="shared" si="12"/>
        <v>0</v>
      </c>
      <c r="N125" s="932">
        <f t="shared" si="12"/>
        <v>0</v>
      </c>
      <c r="O125" s="629">
        <v>244662</v>
      </c>
      <c r="P125" s="911">
        <f t="shared" si="13"/>
        <v>0</v>
      </c>
      <c r="Q125" s="755"/>
      <c r="S125" s="1120"/>
    </row>
    <row r="126" spans="2:19" x14ac:dyDescent="0.25">
      <c r="B126" s="750"/>
      <c r="C126" s="752" t="e">
        <f>'FORMATO PROPUESTA ECONÓMICA'!#REF!</f>
        <v>#REF!</v>
      </c>
      <c r="D126" s="756"/>
      <c r="E126" s="720" t="e">
        <f>'5. Presup. Sector 4'!E126</f>
        <v>#REF!</v>
      </c>
      <c r="F126" s="633" t="s">
        <v>410</v>
      </c>
      <c r="G126" s="622" t="str">
        <f t="shared" si="12"/>
        <v>und</v>
      </c>
      <c r="H126" s="628">
        <f t="shared" si="12"/>
        <v>0</v>
      </c>
      <c r="I126" s="628">
        <f t="shared" si="12"/>
        <v>0</v>
      </c>
      <c r="J126" s="628">
        <f t="shared" si="12"/>
        <v>0</v>
      </c>
      <c r="K126" s="628">
        <f t="shared" si="12"/>
        <v>0</v>
      </c>
      <c r="L126" s="628">
        <f t="shared" si="12"/>
        <v>0</v>
      </c>
      <c r="M126" s="628">
        <f t="shared" si="12"/>
        <v>0</v>
      </c>
      <c r="N126" s="932">
        <f t="shared" si="12"/>
        <v>2</v>
      </c>
      <c r="O126" s="629">
        <v>414183</v>
      </c>
      <c r="P126" s="911">
        <f t="shared" si="13"/>
        <v>828366</v>
      </c>
      <c r="Q126" s="755"/>
      <c r="S126" s="1120"/>
    </row>
    <row r="127" spans="2:19" hidden="1" x14ac:dyDescent="0.25">
      <c r="B127" s="750"/>
      <c r="C127" s="752" t="e">
        <f>'FORMATO PROPUESTA ECONÓMICA'!#REF!</f>
        <v>#REF!</v>
      </c>
      <c r="D127" s="756"/>
      <c r="E127" s="720" t="e">
        <f>'5. Presup. Sector 4'!E127</f>
        <v>#REF!</v>
      </c>
      <c r="F127" s="633" t="s">
        <v>411</v>
      </c>
      <c r="G127" s="622" t="str">
        <f t="shared" ref="G127:N128" si="14">G45</f>
        <v>und</v>
      </c>
      <c r="H127" s="628">
        <f t="shared" si="14"/>
        <v>0</v>
      </c>
      <c r="I127" s="628">
        <f t="shared" si="14"/>
        <v>0</v>
      </c>
      <c r="J127" s="628">
        <f t="shared" si="14"/>
        <v>0</v>
      </c>
      <c r="K127" s="628">
        <f t="shared" si="14"/>
        <v>0</v>
      </c>
      <c r="L127" s="628">
        <f t="shared" si="14"/>
        <v>0</v>
      </c>
      <c r="M127" s="628">
        <f t="shared" si="14"/>
        <v>0</v>
      </c>
      <c r="N127" s="932">
        <f t="shared" si="14"/>
        <v>0</v>
      </c>
      <c r="O127" s="629">
        <v>64172</v>
      </c>
      <c r="P127" s="911">
        <f t="shared" si="13"/>
        <v>0</v>
      </c>
      <c r="Q127" s="755"/>
      <c r="S127" s="1120"/>
    </row>
    <row r="128" spans="2:19" hidden="1" x14ac:dyDescent="0.25">
      <c r="B128" s="750"/>
      <c r="C128" s="752"/>
      <c r="D128" s="756"/>
      <c r="E128" s="720" t="e">
        <f>'5. Presup. Sector 4'!E128</f>
        <v>#REF!</v>
      </c>
      <c r="F128" s="633" t="s">
        <v>446</v>
      </c>
      <c r="G128" s="622" t="s">
        <v>79</v>
      </c>
      <c r="H128" s="628"/>
      <c r="I128" s="628"/>
      <c r="J128" s="628"/>
      <c r="K128" s="628"/>
      <c r="L128" s="628"/>
      <c r="M128" s="628"/>
      <c r="N128" s="932">
        <f t="shared" si="14"/>
        <v>0</v>
      </c>
      <c r="O128" s="629">
        <v>64172</v>
      </c>
      <c r="P128" s="911">
        <f t="shared" si="13"/>
        <v>0</v>
      </c>
      <c r="Q128" s="755"/>
      <c r="S128" s="1120"/>
    </row>
    <row r="129" spans="2:19" hidden="1" x14ac:dyDescent="0.25">
      <c r="B129" s="750"/>
      <c r="C129" s="752" t="e">
        <f>'FORMATO PROPUESTA ECONÓMICA'!#REF!</f>
        <v>#REF!</v>
      </c>
      <c r="D129" s="756"/>
      <c r="E129" s="720" t="e">
        <f>'5. Presup. Sector 4'!E129</f>
        <v>#REF!</v>
      </c>
      <c r="F129" s="633" t="s">
        <v>412</v>
      </c>
      <c r="G129" s="622" t="str">
        <f t="shared" ref="G129:N129" si="15">G47</f>
        <v>und</v>
      </c>
      <c r="H129" s="628">
        <f t="shared" si="15"/>
        <v>0</v>
      </c>
      <c r="I129" s="628">
        <f t="shared" si="15"/>
        <v>0</v>
      </c>
      <c r="J129" s="628">
        <f t="shared" si="15"/>
        <v>0</v>
      </c>
      <c r="K129" s="628">
        <f t="shared" si="15"/>
        <v>0</v>
      </c>
      <c r="L129" s="628">
        <f t="shared" si="15"/>
        <v>0</v>
      </c>
      <c r="M129" s="628">
        <f t="shared" si="15"/>
        <v>0</v>
      </c>
      <c r="N129" s="932">
        <f t="shared" si="15"/>
        <v>0</v>
      </c>
      <c r="O129" s="629">
        <v>39195</v>
      </c>
      <c r="P129" s="911">
        <f t="shared" si="13"/>
        <v>0</v>
      </c>
      <c r="Q129" s="755"/>
      <c r="S129" s="1120"/>
    </row>
    <row r="130" spans="2:19" hidden="1" x14ac:dyDescent="0.25">
      <c r="B130" s="750"/>
      <c r="C130" s="752" t="e">
        <f>'FORMATO PROPUESTA ECONÓMICA'!#REF!</f>
        <v>#REF!</v>
      </c>
      <c r="D130" s="756"/>
      <c r="E130" s="720" t="e">
        <f>'5. Presup. Sector 4'!E130</f>
        <v>#REF!</v>
      </c>
      <c r="F130" s="633" t="s">
        <v>413</v>
      </c>
      <c r="G130" s="622" t="str">
        <f t="shared" ref="G130:N130" si="16">G48</f>
        <v>und</v>
      </c>
      <c r="H130" s="628">
        <f t="shared" si="16"/>
        <v>0</v>
      </c>
      <c r="I130" s="628">
        <f t="shared" si="16"/>
        <v>0</v>
      </c>
      <c r="J130" s="628">
        <f t="shared" si="16"/>
        <v>0</v>
      </c>
      <c r="K130" s="628">
        <f t="shared" si="16"/>
        <v>0</v>
      </c>
      <c r="L130" s="628">
        <f t="shared" si="16"/>
        <v>0</v>
      </c>
      <c r="M130" s="628">
        <f t="shared" si="16"/>
        <v>0</v>
      </c>
      <c r="N130" s="932">
        <f t="shared" si="16"/>
        <v>0</v>
      </c>
      <c r="O130" s="629">
        <v>35639</v>
      </c>
      <c r="P130" s="911">
        <f t="shared" si="13"/>
        <v>0</v>
      </c>
      <c r="Q130" s="755"/>
      <c r="S130" s="1120"/>
    </row>
    <row r="131" spans="2:19" x14ac:dyDescent="0.25">
      <c r="B131" s="750"/>
      <c r="C131" s="752" t="e">
        <f>'FORMATO PROPUESTA ECONÓMICA'!#REF!</f>
        <v>#REF!</v>
      </c>
      <c r="D131" s="756"/>
      <c r="E131" s="720" t="e">
        <f>'5. Presup. Sector 4'!E131</f>
        <v>#REF!</v>
      </c>
      <c r="F131" s="633" t="s">
        <v>414</v>
      </c>
      <c r="G131" s="622" t="str">
        <f t="shared" ref="G131:N131" si="17">G49</f>
        <v>und</v>
      </c>
      <c r="H131" s="628">
        <f t="shared" si="17"/>
        <v>0</v>
      </c>
      <c r="I131" s="628">
        <f t="shared" si="17"/>
        <v>0</v>
      </c>
      <c r="J131" s="628">
        <f t="shared" si="17"/>
        <v>0</v>
      </c>
      <c r="K131" s="628">
        <f t="shared" si="17"/>
        <v>0</v>
      </c>
      <c r="L131" s="628">
        <f t="shared" si="17"/>
        <v>0</v>
      </c>
      <c r="M131" s="628">
        <f t="shared" si="17"/>
        <v>0</v>
      </c>
      <c r="N131" s="932">
        <f t="shared" si="17"/>
        <v>2</v>
      </c>
      <c r="O131" s="629">
        <v>38236</v>
      </c>
      <c r="P131" s="911">
        <f t="shared" si="13"/>
        <v>76472</v>
      </c>
      <c r="Q131" s="755"/>
      <c r="S131" s="1120"/>
    </row>
    <row r="132" spans="2:19" x14ac:dyDescent="0.25">
      <c r="B132" s="750"/>
      <c r="C132" s="752" t="e">
        <f>'FORMATO PROPUESTA ECONÓMICA'!#REF!</f>
        <v>#REF!</v>
      </c>
      <c r="D132" s="756"/>
      <c r="E132" s="720" t="e">
        <f>'5. Presup. Sector 4'!E132</f>
        <v>#REF!</v>
      </c>
      <c r="F132" s="633" t="s">
        <v>415</v>
      </c>
      <c r="G132" s="622" t="str">
        <f t="shared" ref="G132:N132" si="18">G50</f>
        <v>und</v>
      </c>
      <c r="H132" s="628">
        <f t="shared" si="18"/>
        <v>0</v>
      </c>
      <c r="I132" s="628">
        <f t="shared" si="18"/>
        <v>0</v>
      </c>
      <c r="J132" s="628">
        <f t="shared" si="18"/>
        <v>0</v>
      </c>
      <c r="K132" s="628">
        <f t="shared" si="18"/>
        <v>0</v>
      </c>
      <c r="L132" s="628">
        <f t="shared" si="18"/>
        <v>0</v>
      </c>
      <c r="M132" s="628">
        <f t="shared" si="18"/>
        <v>0</v>
      </c>
      <c r="N132" s="932">
        <f t="shared" si="18"/>
        <v>4</v>
      </c>
      <c r="O132" s="629">
        <v>46509</v>
      </c>
      <c r="P132" s="911">
        <f t="shared" si="13"/>
        <v>186036</v>
      </c>
      <c r="Q132" s="755"/>
      <c r="S132" s="1120"/>
    </row>
    <row r="133" spans="2:19" x14ac:dyDescent="0.25">
      <c r="B133" s="750"/>
      <c r="C133" s="752" t="e">
        <f>'FORMATO PROPUESTA ECONÓMICA'!#REF!</f>
        <v>#REF!</v>
      </c>
      <c r="D133" s="756"/>
      <c r="E133" s="720" t="e">
        <f>'5. Presup. Sector 4'!E133</f>
        <v>#REF!</v>
      </c>
      <c r="F133" s="633" t="s">
        <v>416</v>
      </c>
      <c r="G133" s="622" t="str">
        <f t="shared" ref="G133:N133" si="19">G51</f>
        <v>und</v>
      </c>
      <c r="H133" s="628">
        <f t="shared" si="19"/>
        <v>0</v>
      </c>
      <c r="I133" s="628">
        <f t="shared" si="19"/>
        <v>0</v>
      </c>
      <c r="J133" s="628">
        <f t="shared" si="19"/>
        <v>0</v>
      </c>
      <c r="K133" s="628">
        <f t="shared" si="19"/>
        <v>0</v>
      </c>
      <c r="L133" s="628">
        <f t="shared" si="19"/>
        <v>0</v>
      </c>
      <c r="M133" s="628">
        <f t="shared" si="19"/>
        <v>0</v>
      </c>
      <c r="N133" s="932">
        <f t="shared" si="19"/>
        <v>4</v>
      </c>
      <c r="O133" s="629">
        <v>35277.919999999998</v>
      </c>
      <c r="P133" s="911">
        <f t="shared" si="13"/>
        <v>141111.67999999999</v>
      </c>
      <c r="Q133" s="755"/>
      <c r="S133" s="1120"/>
    </row>
    <row r="134" spans="2:19" x14ac:dyDescent="0.25">
      <c r="B134" s="750"/>
      <c r="C134" s="752" t="e">
        <f>'FORMATO PROPUESTA ECONÓMICA'!#REF!</f>
        <v>#REF!</v>
      </c>
      <c r="D134" s="756"/>
      <c r="E134" s="720" t="e">
        <f>'5. Presup. Sector 4'!E134</f>
        <v>#REF!</v>
      </c>
      <c r="F134" s="633" t="s">
        <v>417</v>
      </c>
      <c r="G134" s="622" t="str">
        <f t="shared" ref="G134:N134" si="20">G52</f>
        <v>und</v>
      </c>
      <c r="H134" s="628">
        <f t="shared" si="20"/>
        <v>0</v>
      </c>
      <c r="I134" s="628">
        <f t="shared" si="20"/>
        <v>0</v>
      </c>
      <c r="J134" s="628">
        <f t="shared" si="20"/>
        <v>0</v>
      </c>
      <c r="K134" s="628">
        <f t="shared" si="20"/>
        <v>0</v>
      </c>
      <c r="L134" s="628">
        <f t="shared" si="20"/>
        <v>0</v>
      </c>
      <c r="M134" s="628">
        <f t="shared" si="20"/>
        <v>0</v>
      </c>
      <c r="N134" s="932">
        <f t="shared" si="20"/>
        <v>8</v>
      </c>
      <c r="O134" s="629">
        <v>37681</v>
      </c>
      <c r="P134" s="911">
        <f t="shared" si="13"/>
        <v>301448</v>
      </c>
      <c r="Q134" s="755"/>
      <c r="S134" s="1120"/>
    </row>
    <row r="135" spans="2:19" x14ac:dyDescent="0.25">
      <c r="B135" s="750"/>
      <c r="C135" s="752" t="e">
        <f>'FORMATO PROPUESTA ECONÓMICA'!#REF!</f>
        <v>#REF!</v>
      </c>
      <c r="D135" s="756"/>
      <c r="E135" s="720" t="e">
        <f>'5. Presup. Sector 4'!E135</f>
        <v>#REF!</v>
      </c>
      <c r="F135" s="633" t="s">
        <v>393</v>
      </c>
      <c r="G135" s="622" t="str">
        <f t="shared" ref="G135:N135" si="21">G53</f>
        <v>und</v>
      </c>
      <c r="H135" s="628">
        <f t="shared" si="21"/>
        <v>0</v>
      </c>
      <c r="I135" s="628">
        <f t="shared" si="21"/>
        <v>0</v>
      </c>
      <c r="J135" s="628">
        <f t="shared" si="21"/>
        <v>0</v>
      </c>
      <c r="K135" s="628">
        <f t="shared" si="21"/>
        <v>0</v>
      </c>
      <c r="L135" s="628">
        <f t="shared" si="21"/>
        <v>0</v>
      </c>
      <c r="M135" s="628">
        <f t="shared" si="21"/>
        <v>0</v>
      </c>
      <c r="N135" s="932">
        <f t="shared" si="21"/>
        <v>6</v>
      </c>
      <c r="O135" s="629">
        <v>39675</v>
      </c>
      <c r="P135" s="911">
        <f t="shared" si="13"/>
        <v>238050</v>
      </c>
      <c r="Q135" s="755"/>
      <c r="S135" s="1120"/>
    </row>
    <row r="136" spans="2:19" hidden="1" x14ac:dyDescent="0.25">
      <c r="B136" s="750"/>
      <c r="C136" s="752" t="e">
        <f>'FORMATO PROPUESTA ECONÓMICA'!#REF!</f>
        <v>#REF!</v>
      </c>
      <c r="D136" s="756"/>
      <c r="E136" s="720" t="e">
        <f>'5. Presup. Sector 4'!E136</f>
        <v>#REF!</v>
      </c>
      <c r="F136" s="633" t="s">
        <v>394</v>
      </c>
      <c r="G136" s="622" t="str">
        <f t="shared" ref="G136:N136" si="22">G54</f>
        <v>und</v>
      </c>
      <c r="H136" s="628">
        <f t="shared" si="22"/>
        <v>0</v>
      </c>
      <c r="I136" s="628">
        <f t="shared" si="22"/>
        <v>0</v>
      </c>
      <c r="J136" s="628">
        <f t="shared" si="22"/>
        <v>0</v>
      </c>
      <c r="K136" s="628">
        <f t="shared" si="22"/>
        <v>0</v>
      </c>
      <c r="L136" s="628">
        <f t="shared" si="22"/>
        <v>0</v>
      </c>
      <c r="M136" s="628">
        <f t="shared" si="22"/>
        <v>0</v>
      </c>
      <c r="N136" s="932">
        <f t="shared" si="22"/>
        <v>0</v>
      </c>
      <c r="O136" s="629">
        <v>50625</v>
      </c>
      <c r="P136" s="911">
        <f t="shared" si="13"/>
        <v>0</v>
      </c>
      <c r="Q136" s="755"/>
      <c r="S136" s="1120"/>
    </row>
    <row r="137" spans="2:19" hidden="1" x14ac:dyDescent="0.25">
      <c r="B137" s="750"/>
      <c r="C137" s="752" t="e">
        <f>'FORMATO PROPUESTA ECONÓMICA'!#REF!</f>
        <v>#REF!</v>
      </c>
      <c r="D137" s="756"/>
      <c r="E137" s="720" t="e">
        <f>'5. Presup. Sector 4'!E137</f>
        <v>#REF!</v>
      </c>
      <c r="F137" s="633" t="s">
        <v>395</v>
      </c>
      <c r="G137" s="622" t="str">
        <f t="shared" ref="G137:N137" si="23">G55</f>
        <v>und</v>
      </c>
      <c r="H137" s="628">
        <f t="shared" si="23"/>
        <v>0</v>
      </c>
      <c r="I137" s="628">
        <f t="shared" si="23"/>
        <v>0</v>
      </c>
      <c r="J137" s="628">
        <f t="shared" si="23"/>
        <v>0</v>
      </c>
      <c r="K137" s="628">
        <f t="shared" si="23"/>
        <v>0</v>
      </c>
      <c r="L137" s="628">
        <f t="shared" si="23"/>
        <v>0</v>
      </c>
      <c r="M137" s="628">
        <f t="shared" si="23"/>
        <v>0</v>
      </c>
      <c r="N137" s="932">
        <f t="shared" si="23"/>
        <v>0</v>
      </c>
      <c r="O137" s="629">
        <v>134189</v>
      </c>
      <c r="P137" s="911">
        <f t="shared" si="13"/>
        <v>0</v>
      </c>
      <c r="Q137" s="755"/>
      <c r="S137" s="1120"/>
    </row>
    <row r="138" spans="2:19" hidden="1" x14ac:dyDescent="0.25">
      <c r="B138" s="750"/>
      <c r="C138" s="752" t="e">
        <f>'FORMATO PROPUESTA ECONÓMICA'!#REF!</f>
        <v>#REF!</v>
      </c>
      <c r="D138" s="756"/>
      <c r="E138" s="720" t="e">
        <f>'5. Presup. Sector 4'!E138</f>
        <v>#REF!</v>
      </c>
      <c r="F138" s="633" t="s">
        <v>396</v>
      </c>
      <c r="G138" s="622" t="str">
        <f t="shared" ref="G138:N138" si="24">G56</f>
        <v>und</v>
      </c>
      <c r="H138" s="628">
        <f t="shared" si="24"/>
        <v>0</v>
      </c>
      <c r="I138" s="628">
        <f t="shared" si="24"/>
        <v>0</v>
      </c>
      <c r="J138" s="628">
        <f t="shared" si="24"/>
        <v>0</v>
      </c>
      <c r="K138" s="628">
        <f t="shared" si="24"/>
        <v>0</v>
      </c>
      <c r="L138" s="628">
        <f t="shared" si="24"/>
        <v>0</v>
      </c>
      <c r="M138" s="628">
        <f t="shared" si="24"/>
        <v>0</v>
      </c>
      <c r="N138" s="932">
        <f t="shared" si="24"/>
        <v>0</v>
      </c>
      <c r="O138" s="629">
        <v>134189</v>
      </c>
      <c r="P138" s="911">
        <f t="shared" si="13"/>
        <v>0</v>
      </c>
      <c r="Q138" s="755"/>
      <c r="S138" s="1120"/>
    </row>
    <row r="139" spans="2:19" hidden="1" x14ac:dyDescent="0.25">
      <c r="B139" s="750"/>
      <c r="C139" s="752" t="e">
        <f>'FORMATO PROPUESTA ECONÓMICA'!#REF!</f>
        <v>#REF!</v>
      </c>
      <c r="D139" s="756"/>
      <c r="E139" s="720" t="e">
        <f>'5. Presup. Sector 4'!E139</f>
        <v>#REF!</v>
      </c>
      <c r="F139" s="633" t="s">
        <v>418</v>
      </c>
      <c r="G139" s="622" t="str">
        <f t="shared" ref="G139:N139" si="25">G57</f>
        <v>und</v>
      </c>
      <c r="H139" s="628">
        <f t="shared" si="25"/>
        <v>0</v>
      </c>
      <c r="I139" s="628">
        <f t="shared" si="25"/>
        <v>0</v>
      </c>
      <c r="J139" s="628">
        <f t="shared" si="25"/>
        <v>0</v>
      </c>
      <c r="K139" s="628">
        <f t="shared" si="25"/>
        <v>0</v>
      </c>
      <c r="L139" s="628">
        <f t="shared" si="25"/>
        <v>0</v>
      </c>
      <c r="M139" s="628">
        <f t="shared" si="25"/>
        <v>0</v>
      </c>
      <c r="N139" s="932">
        <f t="shared" si="25"/>
        <v>0</v>
      </c>
      <c r="O139" s="629">
        <v>29369</v>
      </c>
      <c r="P139" s="911">
        <f t="shared" si="13"/>
        <v>0</v>
      </c>
      <c r="Q139" s="755"/>
      <c r="S139" s="1120"/>
    </row>
    <row r="140" spans="2:19" x14ac:dyDescent="0.25">
      <c r="B140" s="750"/>
      <c r="C140" s="752" t="e">
        <f>'FORMATO PROPUESTA ECONÓMICA'!#REF!</f>
        <v>#REF!</v>
      </c>
      <c r="D140" s="756"/>
      <c r="E140" s="720" t="e">
        <f>'5. Presup. Sector 4'!E140</f>
        <v>#REF!</v>
      </c>
      <c r="F140" s="633" t="s">
        <v>419</v>
      </c>
      <c r="G140" s="622" t="str">
        <f t="shared" ref="G140:N140" si="26">G58</f>
        <v>und</v>
      </c>
      <c r="H140" s="628">
        <f t="shared" si="26"/>
        <v>0</v>
      </c>
      <c r="I140" s="628">
        <f t="shared" si="26"/>
        <v>0</v>
      </c>
      <c r="J140" s="628">
        <f t="shared" si="26"/>
        <v>0</v>
      </c>
      <c r="K140" s="628">
        <f t="shared" si="26"/>
        <v>0</v>
      </c>
      <c r="L140" s="628">
        <f t="shared" si="26"/>
        <v>0</v>
      </c>
      <c r="M140" s="628">
        <f t="shared" si="26"/>
        <v>0</v>
      </c>
      <c r="N140" s="932">
        <f t="shared" si="26"/>
        <v>16</v>
      </c>
      <c r="O140" s="629">
        <v>19705</v>
      </c>
      <c r="P140" s="911">
        <f t="shared" si="13"/>
        <v>315280</v>
      </c>
      <c r="Q140" s="755"/>
      <c r="S140" s="1120"/>
    </row>
    <row r="141" spans="2:19" hidden="1" x14ac:dyDescent="0.25">
      <c r="B141" s="750"/>
      <c r="C141" s="752" t="e">
        <f>'FORMATO PROPUESTA ECONÓMICA'!#REF!</f>
        <v>#REF!</v>
      </c>
      <c r="D141" s="756"/>
      <c r="E141" s="720" t="e">
        <f>'5. Presup. Sector 4'!E141</f>
        <v>#REF!</v>
      </c>
      <c r="F141" s="633" t="s">
        <v>420</v>
      </c>
      <c r="G141" s="622" t="str">
        <f t="shared" ref="G141:N141" si="27">G59</f>
        <v>und</v>
      </c>
      <c r="H141" s="628">
        <f t="shared" si="27"/>
        <v>0</v>
      </c>
      <c r="I141" s="628">
        <f t="shared" si="27"/>
        <v>0</v>
      </c>
      <c r="J141" s="628">
        <f t="shared" si="27"/>
        <v>0</v>
      </c>
      <c r="K141" s="628">
        <f t="shared" si="27"/>
        <v>0</v>
      </c>
      <c r="L141" s="628">
        <f t="shared" si="27"/>
        <v>0</v>
      </c>
      <c r="M141" s="628">
        <f t="shared" si="27"/>
        <v>0</v>
      </c>
      <c r="N141" s="932">
        <f t="shared" si="27"/>
        <v>0</v>
      </c>
      <c r="O141" s="629">
        <v>24443</v>
      </c>
      <c r="P141" s="911">
        <f t="shared" si="13"/>
        <v>0</v>
      </c>
      <c r="Q141" s="755"/>
      <c r="S141" s="1120"/>
    </row>
    <row r="142" spans="2:19" hidden="1" x14ac:dyDescent="0.25">
      <c r="B142" s="750" t="str">
        <f>+'[3]4.Secundarias B_El Bosque'!C61</f>
        <v>Tubería PE Øint. 327.8mm</v>
      </c>
      <c r="C142" s="752" t="e">
        <f>'FORMATO PROPUESTA ECONÓMICA'!#REF!</f>
        <v>#REF!</v>
      </c>
      <c r="D142" s="756"/>
      <c r="E142" s="720" t="e">
        <f>'5. Presup. Sector 4'!E142</f>
        <v>#REF!</v>
      </c>
      <c r="F142" s="633" t="s">
        <v>421</v>
      </c>
      <c r="G142" s="622" t="str">
        <f t="shared" ref="G142:N142" si="28">G60</f>
        <v>und</v>
      </c>
      <c r="H142" s="628">
        <f t="shared" si="28"/>
        <v>0</v>
      </c>
      <c r="I142" s="628">
        <f t="shared" si="28"/>
        <v>0</v>
      </c>
      <c r="J142" s="628">
        <f t="shared" si="28"/>
        <v>0</v>
      </c>
      <c r="K142" s="628">
        <f t="shared" si="28"/>
        <v>0</v>
      </c>
      <c r="L142" s="628">
        <f t="shared" si="28"/>
        <v>0</v>
      </c>
      <c r="M142" s="628">
        <f t="shared" si="28"/>
        <v>0</v>
      </c>
      <c r="N142" s="932">
        <f t="shared" si="28"/>
        <v>0</v>
      </c>
      <c r="O142" s="629">
        <v>56681</v>
      </c>
      <c r="P142" s="911">
        <f t="shared" si="13"/>
        <v>0</v>
      </c>
      <c r="Q142" s="755"/>
      <c r="S142" s="1120"/>
    </row>
    <row r="143" spans="2:19" x14ac:dyDescent="0.25">
      <c r="B143" s="750" t="str">
        <f>+'[3]1. Colector Principal'!C68</f>
        <v>Tubería PE Øint. 415.6mm</v>
      </c>
      <c r="C143" s="752" t="e">
        <f>'FORMATO PROPUESTA ECONÓMICA'!#REF!</f>
        <v>#REF!</v>
      </c>
      <c r="D143" s="756"/>
      <c r="E143" s="720" t="e">
        <f>'5. Presup. Sector 4'!E143</f>
        <v>#REF!</v>
      </c>
      <c r="F143" s="633" t="s">
        <v>422</v>
      </c>
      <c r="G143" s="622" t="str">
        <f t="shared" ref="G143:N143" si="29">G61</f>
        <v>und</v>
      </c>
      <c r="H143" s="628">
        <f t="shared" si="29"/>
        <v>0</v>
      </c>
      <c r="I143" s="628">
        <f t="shared" si="29"/>
        <v>0</v>
      </c>
      <c r="J143" s="628">
        <f t="shared" si="29"/>
        <v>0</v>
      </c>
      <c r="K143" s="628">
        <f t="shared" si="29"/>
        <v>0</v>
      </c>
      <c r="L143" s="628">
        <f t="shared" si="29"/>
        <v>0</v>
      </c>
      <c r="M143" s="628">
        <f t="shared" si="29"/>
        <v>0</v>
      </c>
      <c r="N143" s="932">
        <f t="shared" si="29"/>
        <v>6</v>
      </c>
      <c r="O143" s="629">
        <v>110957</v>
      </c>
      <c r="P143" s="911">
        <f t="shared" si="13"/>
        <v>665742</v>
      </c>
      <c r="Q143" s="755"/>
      <c r="S143" s="1120"/>
    </row>
    <row r="144" spans="2:19" ht="30" x14ac:dyDescent="0.25">
      <c r="B144" s="750" t="str">
        <f>+'[3]5.Domiciliarias Colector La Yuq'!C35</f>
        <v>Suministro, transporte y colocacion de kit domiciliario en PE, incluye empaque, codo de 45° y espigo, en los siguientes diametros:</v>
      </c>
      <c r="C144" s="841" t="e">
        <f>'FORMATO PROPUESTA ECONÓMICA'!#REF!</f>
        <v>#REF!</v>
      </c>
      <c r="D144" s="758"/>
      <c r="E144" s="732" t="e">
        <f>'5. Presup. Sector 4'!E144</f>
        <v>#REF!</v>
      </c>
      <c r="F144" s="43" t="s">
        <v>423</v>
      </c>
      <c r="G144" s="807"/>
      <c r="H144" s="39"/>
      <c r="I144" s="40"/>
      <c r="J144" s="41"/>
      <c r="K144" s="40"/>
      <c r="L144" s="40"/>
      <c r="M144" s="40"/>
      <c r="N144" s="39"/>
      <c r="O144" s="39"/>
      <c r="P144" s="912"/>
      <c r="Q144" s="755"/>
      <c r="S144" s="1120"/>
    </row>
    <row r="145" spans="2:19" ht="18.75" customHeight="1" x14ac:dyDescent="0.25">
      <c r="B145" s="750" t="str">
        <f>+'[3]6.Domiciliarias B_Obrero'!C33</f>
        <v>184.6 mm x 147.7 mm</v>
      </c>
      <c r="C145" s="752" t="e">
        <f>'FORMATO PROPUESTA ECONÓMICA'!#REF!</f>
        <v>#REF!</v>
      </c>
      <c r="D145" s="756"/>
      <c r="E145" s="734" t="e">
        <f>'5. Presup. Sector 4'!E145</f>
        <v>#REF!</v>
      </c>
      <c r="F145" s="633" t="s">
        <v>402</v>
      </c>
      <c r="G145" s="622" t="str">
        <f>G65</f>
        <v>ml</v>
      </c>
      <c r="H145" s="628">
        <f t="shared" ref="H145:N145" si="30">H65</f>
        <v>0</v>
      </c>
      <c r="I145" s="628">
        <f t="shared" si="30"/>
        <v>0</v>
      </c>
      <c r="J145" s="628">
        <f t="shared" si="30"/>
        <v>1.0000004147351824</v>
      </c>
      <c r="K145" s="628">
        <f t="shared" si="30"/>
        <v>0</v>
      </c>
      <c r="L145" s="628">
        <f t="shared" si="30"/>
        <v>0</v>
      </c>
      <c r="M145" s="628">
        <f t="shared" si="30"/>
        <v>0</v>
      </c>
      <c r="N145" s="932">
        <f t="shared" si="30"/>
        <v>1920</v>
      </c>
      <c r="O145" s="629">
        <v>2433.6799999999998</v>
      </c>
      <c r="P145" s="911">
        <f t="shared" ref="P145:P160" si="31">IF(ISERROR(+N145*O145),"",+N145*O145)</f>
        <v>4672665.5999999996</v>
      </c>
      <c r="Q145" s="755"/>
      <c r="S145" s="1120"/>
    </row>
    <row r="146" spans="2:19" ht="18" customHeight="1" x14ac:dyDescent="0.25">
      <c r="B146" s="750" t="str">
        <f>+'[3]5.Domiciliarias Colector La Yuq'!C36</f>
        <v>230.8 mm x 147.7 mm</v>
      </c>
      <c r="C146" s="752" t="e">
        <f>'FORMATO PROPUESTA ECONÓMICA'!#REF!</f>
        <v>#REF!</v>
      </c>
      <c r="D146" s="756"/>
      <c r="E146" s="734" t="e">
        <f>'5. Presup. Sector 4'!E146</f>
        <v>#REF!</v>
      </c>
      <c r="F146" s="633" t="s">
        <v>403</v>
      </c>
      <c r="G146" s="622" t="str">
        <f t="shared" ref="G146:N146" si="32">G66</f>
        <v>ml</v>
      </c>
      <c r="H146" s="628">
        <f t="shared" si="32"/>
        <v>0</v>
      </c>
      <c r="I146" s="628">
        <f t="shared" si="32"/>
        <v>0</v>
      </c>
      <c r="J146" s="628">
        <f t="shared" si="32"/>
        <v>0.99999988060184275</v>
      </c>
      <c r="K146" s="628">
        <f t="shared" si="32"/>
        <v>0</v>
      </c>
      <c r="L146" s="628">
        <f t="shared" si="32"/>
        <v>0</v>
      </c>
      <c r="M146" s="628">
        <f t="shared" si="32"/>
        <v>0</v>
      </c>
      <c r="N146" s="932">
        <f t="shared" si="32"/>
        <v>180</v>
      </c>
      <c r="O146" s="629">
        <v>3778.12</v>
      </c>
      <c r="P146" s="911">
        <f t="shared" si="31"/>
        <v>680061.6</v>
      </c>
      <c r="Q146" s="755"/>
      <c r="S146" s="1120"/>
    </row>
    <row r="147" spans="2:19" hidden="1" x14ac:dyDescent="0.25">
      <c r="B147" s="750" t="str">
        <f>+'[3]5.Domiciliarias Colector La Yuq'!C37</f>
        <v>290.8 mm x 147.7 mm</v>
      </c>
      <c r="C147" s="752" t="e">
        <f>'FORMATO PROPUESTA ECONÓMICA'!#REF!</f>
        <v>#REF!</v>
      </c>
      <c r="D147" s="756"/>
      <c r="E147" s="734" t="e">
        <f>'5. Presup. Sector 4'!E147</f>
        <v>#REF!</v>
      </c>
      <c r="F147" s="633" t="s">
        <v>424</v>
      </c>
      <c r="G147" s="622" t="str">
        <f t="shared" ref="G147:N147" si="33">G67</f>
        <v>und</v>
      </c>
      <c r="H147" s="628">
        <f t="shared" si="33"/>
        <v>0</v>
      </c>
      <c r="I147" s="628">
        <f t="shared" si="33"/>
        <v>0</v>
      </c>
      <c r="J147" s="628">
        <f t="shared" si="33"/>
        <v>0</v>
      </c>
      <c r="K147" s="628">
        <f t="shared" si="33"/>
        <v>0</v>
      </c>
      <c r="L147" s="628">
        <f t="shared" si="33"/>
        <v>0</v>
      </c>
      <c r="M147" s="628">
        <f t="shared" si="33"/>
        <v>0</v>
      </c>
      <c r="N147" s="932">
        <f t="shared" si="33"/>
        <v>0</v>
      </c>
      <c r="O147" s="629">
        <v>14618</v>
      </c>
      <c r="P147" s="911">
        <f t="shared" si="31"/>
        <v>0</v>
      </c>
      <c r="Q147" s="755"/>
      <c r="S147" s="1120"/>
    </row>
    <row r="148" spans="2:19" hidden="1" x14ac:dyDescent="0.25">
      <c r="B148" s="750" t="str">
        <f>+'[3]8.Domiciliarias B_El Bosque'!C37</f>
        <v>327.8 mm x 147.7 mm</v>
      </c>
      <c r="C148" s="752" t="e">
        <f>'FORMATO PROPUESTA ECONÓMICA'!#REF!</f>
        <v>#REF!</v>
      </c>
      <c r="D148" s="756"/>
      <c r="E148" s="734" t="e">
        <f>'5. Presup. Sector 4'!E148</f>
        <v>#REF!</v>
      </c>
      <c r="F148" s="633" t="s">
        <v>426</v>
      </c>
      <c r="G148" s="622" t="str">
        <f t="shared" ref="G148:N148" si="34">G68</f>
        <v>und</v>
      </c>
      <c r="H148" s="628">
        <f t="shared" si="34"/>
        <v>0</v>
      </c>
      <c r="I148" s="628">
        <f t="shared" si="34"/>
        <v>0</v>
      </c>
      <c r="J148" s="628">
        <f t="shared" si="34"/>
        <v>0</v>
      </c>
      <c r="K148" s="628">
        <f t="shared" si="34"/>
        <v>0</v>
      </c>
      <c r="L148" s="628">
        <f t="shared" si="34"/>
        <v>0</v>
      </c>
      <c r="M148" s="628">
        <f t="shared" si="34"/>
        <v>0</v>
      </c>
      <c r="N148" s="932">
        <f t="shared" si="34"/>
        <v>0</v>
      </c>
      <c r="O148" s="629">
        <v>14618</v>
      </c>
      <c r="P148" s="911">
        <f t="shared" si="31"/>
        <v>0</v>
      </c>
      <c r="Q148" s="755"/>
      <c r="S148" s="1120"/>
    </row>
    <row r="149" spans="2:19" x14ac:dyDescent="0.25">
      <c r="B149" s="750"/>
      <c r="C149" s="752" t="e">
        <f>'FORMATO PROPUESTA ECONÓMICA'!#REF!</f>
        <v>#REF!</v>
      </c>
      <c r="D149" s="756"/>
      <c r="E149" s="734" t="e">
        <f>'5. Presup. Sector 4'!E149</f>
        <v>#REF!</v>
      </c>
      <c r="F149" s="633" t="s">
        <v>425</v>
      </c>
      <c r="G149" s="622" t="str">
        <f t="shared" ref="G149:N149" si="35">G69</f>
        <v>und</v>
      </c>
      <c r="H149" s="628">
        <f t="shared" si="35"/>
        <v>0</v>
      </c>
      <c r="I149" s="628">
        <f t="shared" si="35"/>
        <v>0</v>
      </c>
      <c r="J149" s="628">
        <f t="shared" si="35"/>
        <v>0</v>
      </c>
      <c r="K149" s="628">
        <f t="shared" si="35"/>
        <v>0</v>
      </c>
      <c r="L149" s="628">
        <f t="shared" si="35"/>
        <v>0</v>
      </c>
      <c r="M149" s="628">
        <f t="shared" si="35"/>
        <v>0</v>
      </c>
      <c r="N149" s="932">
        <f t="shared" si="35"/>
        <v>320</v>
      </c>
      <c r="O149" s="629">
        <v>14618</v>
      </c>
      <c r="P149" s="911">
        <f t="shared" si="31"/>
        <v>4677760</v>
      </c>
      <c r="Q149" s="755"/>
      <c r="S149" s="1120"/>
    </row>
    <row r="150" spans="2:19" x14ac:dyDescent="0.25">
      <c r="B150" s="750"/>
      <c r="C150" s="752" t="e">
        <f>'FORMATO PROPUESTA ECONÓMICA'!#REF!</f>
        <v>#REF!</v>
      </c>
      <c r="D150" s="756"/>
      <c r="E150" s="734" t="e">
        <f>'5. Presup. Sector 4'!E150</f>
        <v>#REF!</v>
      </c>
      <c r="F150" s="633" t="s">
        <v>427</v>
      </c>
      <c r="G150" s="622" t="str">
        <f t="shared" ref="G150:N150" si="36">G70</f>
        <v>und</v>
      </c>
      <c r="H150" s="628">
        <f t="shared" si="36"/>
        <v>0</v>
      </c>
      <c r="I150" s="628">
        <f t="shared" si="36"/>
        <v>0</v>
      </c>
      <c r="J150" s="628">
        <f t="shared" si="36"/>
        <v>0</v>
      </c>
      <c r="K150" s="628">
        <f t="shared" si="36"/>
        <v>0</v>
      </c>
      <c r="L150" s="628">
        <f t="shared" si="36"/>
        <v>0</v>
      </c>
      <c r="M150" s="628">
        <f t="shared" si="36"/>
        <v>0</v>
      </c>
      <c r="N150" s="932">
        <f t="shared" si="36"/>
        <v>30</v>
      </c>
      <c r="O150" s="629">
        <v>14618</v>
      </c>
      <c r="P150" s="911">
        <f t="shared" si="31"/>
        <v>438540</v>
      </c>
      <c r="Q150" s="755"/>
      <c r="S150" s="1120"/>
    </row>
    <row r="151" spans="2:19" hidden="1" x14ac:dyDescent="0.25">
      <c r="B151" s="750"/>
      <c r="C151" s="752" t="e">
        <f>'FORMATO PROPUESTA ECONÓMICA'!#REF!</f>
        <v>#REF!</v>
      </c>
      <c r="D151" s="756"/>
      <c r="E151" s="734" t="e">
        <f>'5. Presup. Sector 4'!E151</f>
        <v>#REF!</v>
      </c>
      <c r="F151" s="633" t="s">
        <v>428</v>
      </c>
      <c r="G151" s="622" t="str">
        <f t="shared" ref="G151:N151" si="37">G71</f>
        <v>und</v>
      </c>
      <c r="H151" s="628">
        <f t="shared" si="37"/>
        <v>0</v>
      </c>
      <c r="I151" s="628">
        <f t="shared" si="37"/>
        <v>0</v>
      </c>
      <c r="J151" s="628">
        <f t="shared" si="37"/>
        <v>0</v>
      </c>
      <c r="K151" s="628">
        <f t="shared" si="37"/>
        <v>0</v>
      </c>
      <c r="L151" s="628">
        <f t="shared" si="37"/>
        <v>0</v>
      </c>
      <c r="M151" s="628">
        <f t="shared" si="37"/>
        <v>0</v>
      </c>
      <c r="N151" s="932">
        <f t="shared" si="37"/>
        <v>0</v>
      </c>
      <c r="O151" s="629">
        <v>14618</v>
      </c>
      <c r="P151" s="911">
        <f t="shared" si="31"/>
        <v>0</v>
      </c>
      <c r="Q151" s="755"/>
      <c r="S151" s="1120"/>
    </row>
    <row r="152" spans="2:19" x14ac:dyDescent="0.25">
      <c r="B152" s="750"/>
      <c r="C152" s="752" t="e">
        <f>'FORMATO PROPUESTA ECONÓMICA'!#REF!</f>
        <v>#REF!</v>
      </c>
      <c r="D152" s="756"/>
      <c r="E152" s="734" t="e">
        <f>'5. Presup. Sector 4'!E152</f>
        <v>#REF!</v>
      </c>
      <c r="F152" s="633" t="s">
        <v>477</v>
      </c>
      <c r="G152" s="622" t="str">
        <f t="shared" ref="G152:M153" si="38">G72</f>
        <v>und</v>
      </c>
      <c r="H152" s="628">
        <f t="shared" si="38"/>
        <v>0</v>
      </c>
      <c r="I152" s="628">
        <f t="shared" si="38"/>
        <v>0</v>
      </c>
      <c r="J152" s="628">
        <f t="shared" si="38"/>
        <v>0</v>
      </c>
      <c r="K152" s="628">
        <f t="shared" si="38"/>
        <v>0</v>
      </c>
      <c r="L152" s="628">
        <f t="shared" si="38"/>
        <v>0</v>
      </c>
      <c r="M152" s="628">
        <f t="shared" si="38"/>
        <v>0</v>
      </c>
      <c r="N152" s="1011">
        <f>N72/2</f>
        <v>160</v>
      </c>
      <c r="O152" s="629">
        <v>3996</v>
      </c>
      <c r="P152" s="911">
        <f t="shared" si="31"/>
        <v>639360</v>
      </c>
      <c r="Q152" s="755"/>
      <c r="S152" s="1120"/>
    </row>
    <row r="153" spans="2:19" x14ac:dyDescent="0.25">
      <c r="B153" s="750"/>
      <c r="C153" s="752">
        <v>708</v>
      </c>
      <c r="D153" s="756"/>
      <c r="E153" s="734">
        <v>14.9</v>
      </c>
      <c r="F153" s="633" t="s">
        <v>476</v>
      </c>
      <c r="G153" s="622" t="str">
        <f t="shared" si="38"/>
        <v>und</v>
      </c>
      <c r="H153" s="628"/>
      <c r="I153" s="628"/>
      <c r="J153" s="628"/>
      <c r="K153" s="628"/>
      <c r="L153" s="628"/>
      <c r="M153" s="628"/>
      <c r="N153" s="1011">
        <f>N72/2</f>
        <v>160</v>
      </c>
      <c r="O153" s="629">
        <v>3996</v>
      </c>
      <c r="P153" s="911">
        <f t="shared" si="31"/>
        <v>639360</v>
      </c>
      <c r="Q153" s="755"/>
      <c r="S153" s="1120"/>
    </row>
    <row r="154" spans="2:19" x14ac:dyDescent="0.25">
      <c r="B154" s="750"/>
      <c r="C154" s="752" t="e">
        <f>'FORMATO PROPUESTA ECONÓMICA'!#REF!</f>
        <v>#REF!</v>
      </c>
      <c r="D154" s="756"/>
      <c r="E154" s="734" t="e">
        <f>'5. Presup. Sector 4'!E153</f>
        <v>#REF!</v>
      </c>
      <c r="F154" s="633" t="s">
        <v>343</v>
      </c>
      <c r="G154" s="622" t="str">
        <f t="shared" ref="G154:N154" si="39">G73</f>
        <v>und</v>
      </c>
      <c r="H154" s="628">
        <f t="shared" si="39"/>
        <v>0</v>
      </c>
      <c r="I154" s="628">
        <f t="shared" si="39"/>
        <v>0</v>
      </c>
      <c r="J154" s="628">
        <f t="shared" si="39"/>
        <v>1</v>
      </c>
      <c r="K154" s="628">
        <f t="shared" si="39"/>
        <v>0</v>
      </c>
      <c r="L154" s="628">
        <f t="shared" si="39"/>
        <v>0</v>
      </c>
      <c r="M154" s="628">
        <f t="shared" si="39"/>
        <v>0</v>
      </c>
      <c r="N154" s="932">
        <f t="shared" si="39"/>
        <v>30</v>
      </c>
      <c r="O154" s="629">
        <v>5316</v>
      </c>
      <c r="P154" s="911">
        <f t="shared" si="31"/>
        <v>159480</v>
      </c>
      <c r="Q154" s="755"/>
      <c r="S154" s="1120"/>
    </row>
    <row r="155" spans="2:19" x14ac:dyDescent="0.25">
      <c r="B155" s="750"/>
      <c r="C155" s="752" t="e">
        <f>'FORMATO PROPUESTA ECONÓMICA'!#REF!</f>
        <v>#REF!</v>
      </c>
      <c r="D155" s="756"/>
      <c r="E155" s="720" t="e">
        <f>'5. Presup. Sector 4'!E155</f>
        <v>#REF!</v>
      </c>
      <c r="F155" s="633" t="s">
        <v>344</v>
      </c>
      <c r="G155" s="622" t="str">
        <f t="shared" ref="G155:N155" si="40">G74</f>
        <v>und</v>
      </c>
      <c r="H155" s="628">
        <f t="shared" si="40"/>
        <v>0</v>
      </c>
      <c r="I155" s="628">
        <f t="shared" si="40"/>
        <v>0</v>
      </c>
      <c r="J155" s="628">
        <f t="shared" si="40"/>
        <v>1.0000039227956519</v>
      </c>
      <c r="K155" s="628">
        <f t="shared" si="40"/>
        <v>0</v>
      </c>
      <c r="L155" s="628">
        <f t="shared" si="40"/>
        <v>0</v>
      </c>
      <c r="M155" s="628">
        <f t="shared" si="40"/>
        <v>0</v>
      </c>
      <c r="N155" s="932">
        <f t="shared" si="40"/>
        <v>50</v>
      </c>
      <c r="O155" s="629">
        <v>3996</v>
      </c>
      <c r="P155" s="911">
        <f t="shared" si="31"/>
        <v>199800</v>
      </c>
      <c r="Q155" s="755"/>
      <c r="S155" s="1120"/>
    </row>
    <row r="156" spans="2:19" x14ac:dyDescent="0.25">
      <c r="B156" s="750"/>
      <c r="C156" s="752" t="e">
        <f>'FORMATO PROPUESTA ECONÓMICA'!#REF!</f>
        <v>#REF!</v>
      </c>
      <c r="D156" s="756"/>
      <c r="E156" s="720" t="e">
        <f>'5. Presup. Sector 4'!E156</f>
        <v>#REF!</v>
      </c>
      <c r="F156" s="633" t="s">
        <v>345</v>
      </c>
      <c r="G156" s="622" t="str">
        <f t="shared" ref="G156:N156" si="41">G75</f>
        <v>und</v>
      </c>
      <c r="H156" s="628">
        <f t="shared" si="41"/>
        <v>0</v>
      </c>
      <c r="I156" s="628">
        <f t="shared" si="41"/>
        <v>0</v>
      </c>
      <c r="J156" s="628">
        <f t="shared" si="41"/>
        <v>0.99999968892509594</v>
      </c>
      <c r="K156" s="628">
        <f t="shared" si="41"/>
        <v>0</v>
      </c>
      <c r="L156" s="628">
        <f t="shared" si="41"/>
        <v>0</v>
      </c>
      <c r="M156" s="628">
        <f t="shared" si="41"/>
        <v>0</v>
      </c>
      <c r="N156" s="932">
        <f t="shared" si="41"/>
        <v>210</v>
      </c>
      <c r="O156" s="629">
        <v>15225</v>
      </c>
      <c r="P156" s="911">
        <f t="shared" si="31"/>
        <v>3197250</v>
      </c>
      <c r="Q156" s="755"/>
      <c r="S156" s="1120"/>
    </row>
    <row r="157" spans="2:19" ht="90" hidden="1" x14ac:dyDescent="0.25">
      <c r="B157" s="750"/>
      <c r="C157" s="752" t="e">
        <f>'FORMATO PROPUESTA ECONÓMICA'!#REF!</f>
        <v>#REF!</v>
      </c>
      <c r="D157" s="756"/>
      <c r="E157" s="720" t="e">
        <f>'5. Presup. Sector 4'!E157</f>
        <v>#REF!</v>
      </c>
      <c r="F157" s="633" t="s">
        <v>353</v>
      </c>
      <c r="G157" s="622" t="str">
        <f t="shared" ref="G157:N157" si="42">G76</f>
        <v>und</v>
      </c>
      <c r="H157" s="622">
        <f t="shared" si="42"/>
        <v>0</v>
      </c>
      <c r="I157" s="622">
        <f t="shared" si="42"/>
        <v>0</v>
      </c>
      <c r="J157" s="622">
        <f t="shared" si="42"/>
        <v>1</v>
      </c>
      <c r="K157" s="622">
        <f t="shared" si="42"/>
        <v>0</v>
      </c>
      <c r="L157" s="622">
        <f t="shared" si="42"/>
        <v>0</v>
      </c>
      <c r="M157" s="622">
        <f t="shared" si="42"/>
        <v>0</v>
      </c>
      <c r="N157" s="932">
        <f t="shared" si="42"/>
        <v>210</v>
      </c>
      <c r="O157" s="629"/>
      <c r="P157" s="911">
        <f t="shared" si="31"/>
        <v>0</v>
      </c>
      <c r="Q157" s="755"/>
      <c r="S157" s="1120"/>
    </row>
    <row r="158" spans="2:19" x14ac:dyDescent="0.25">
      <c r="B158" s="750"/>
      <c r="C158" s="752" t="e">
        <f>'FORMATO PROPUESTA ECONÓMICA'!#REF!</f>
        <v>#REF!</v>
      </c>
      <c r="D158" s="756"/>
      <c r="E158" s="720" t="e">
        <f>'5. Presup. Sector 4'!E158</f>
        <v>#REF!</v>
      </c>
      <c r="F158" s="633" t="s">
        <v>346</v>
      </c>
      <c r="G158" s="622" t="str">
        <f t="shared" ref="G158:N158" si="43">G77</f>
        <v>und</v>
      </c>
      <c r="H158" s="628">
        <f t="shared" si="43"/>
        <v>0</v>
      </c>
      <c r="I158" s="628">
        <f t="shared" si="43"/>
        <v>0</v>
      </c>
      <c r="J158" s="628">
        <f t="shared" si="43"/>
        <v>1</v>
      </c>
      <c r="K158" s="628">
        <f t="shared" si="43"/>
        <v>0</v>
      </c>
      <c r="L158" s="628">
        <f t="shared" si="43"/>
        <v>0</v>
      </c>
      <c r="M158" s="628">
        <f t="shared" si="43"/>
        <v>0</v>
      </c>
      <c r="N158" s="932">
        <f t="shared" si="43"/>
        <v>210</v>
      </c>
      <c r="O158" s="629">
        <v>7350</v>
      </c>
      <c r="P158" s="911">
        <f t="shared" si="31"/>
        <v>1543500</v>
      </c>
      <c r="Q158" s="755"/>
      <c r="S158" s="1120"/>
    </row>
    <row r="159" spans="2:19" x14ac:dyDescent="0.25">
      <c r="B159" s="750" t="str">
        <f>+'[3]5.Domiciliarias Colector La Yuq'!C38</f>
        <v>415.6 mm x 147.7 mm</v>
      </c>
      <c r="C159" s="752" t="e">
        <f>'FORMATO PROPUESTA ECONÓMICA'!#REF!</f>
        <v>#REF!</v>
      </c>
      <c r="D159" s="756"/>
      <c r="E159" s="720" t="e">
        <f>'5. Presup. Sector 4'!E159</f>
        <v>#REF!</v>
      </c>
      <c r="F159" s="633" t="s">
        <v>347</v>
      </c>
      <c r="G159" s="622" t="str">
        <f>G78</f>
        <v>und</v>
      </c>
      <c r="H159" s="628">
        <f t="shared" ref="H159:N159" si="44">H78</f>
        <v>0</v>
      </c>
      <c r="I159" s="628">
        <f t="shared" si="44"/>
        <v>0</v>
      </c>
      <c r="J159" s="628">
        <f t="shared" si="44"/>
        <v>0.99995051233937871</v>
      </c>
      <c r="K159" s="628">
        <f t="shared" si="44"/>
        <v>0</v>
      </c>
      <c r="L159" s="628">
        <f t="shared" si="44"/>
        <v>0</v>
      </c>
      <c r="M159" s="628">
        <f t="shared" si="44"/>
        <v>0</v>
      </c>
      <c r="N159" s="932">
        <f t="shared" si="44"/>
        <v>350</v>
      </c>
      <c r="O159" s="629">
        <v>394</v>
      </c>
      <c r="P159" s="911">
        <f t="shared" si="31"/>
        <v>137900</v>
      </c>
      <c r="Q159" s="755"/>
      <c r="S159" s="1120"/>
    </row>
    <row r="160" spans="2:19" x14ac:dyDescent="0.25">
      <c r="B160" s="750" t="str">
        <f>+'[3]5.Domiciliarias Colector La Yuq'!C39</f>
        <v>461.8 mm x 147.7 mm</v>
      </c>
      <c r="C160" s="752" t="e">
        <f>'FORMATO PROPUESTA ECONÓMICA'!#REF!</f>
        <v>#REF!</v>
      </c>
      <c r="D160" s="756"/>
      <c r="E160" s="720" t="e">
        <f>'5. Presup. Sector 4'!E160</f>
        <v>#REF!</v>
      </c>
      <c r="F160" s="633" t="s">
        <v>348</v>
      </c>
      <c r="G160" s="622" t="str">
        <f t="shared" ref="G160:N160" si="45">G79</f>
        <v>und</v>
      </c>
      <c r="H160" s="628">
        <f t="shared" si="45"/>
        <v>0</v>
      </c>
      <c r="I160" s="628">
        <f t="shared" si="45"/>
        <v>0</v>
      </c>
      <c r="J160" s="628">
        <f t="shared" si="45"/>
        <v>1</v>
      </c>
      <c r="K160" s="628">
        <f t="shared" si="45"/>
        <v>0</v>
      </c>
      <c r="L160" s="628">
        <f t="shared" si="45"/>
        <v>0</v>
      </c>
      <c r="M160" s="628">
        <f t="shared" si="45"/>
        <v>0</v>
      </c>
      <c r="N160" s="932">
        <f t="shared" si="45"/>
        <v>350</v>
      </c>
      <c r="O160" s="629">
        <v>616</v>
      </c>
      <c r="P160" s="911">
        <f t="shared" si="31"/>
        <v>215600</v>
      </c>
      <c r="Q160" s="755"/>
      <c r="S160" s="1120"/>
    </row>
    <row r="161" spans="3:19" x14ac:dyDescent="0.25">
      <c r="C161" s="843"/>
      <c r="D161" s="844"/>
      <c r="E161" s="845"/>
      <c r="F161" s="845"/>
      <c r="G161" s="907"/>
      <c r="H161" s="845"/>
      <c r="I161" s="845"/>
      <c r="J161" s="845"/>
      <c r="K161" s="845"/>
      <c r="L161" s="845"/>
      <c r="M161" s="845"/>
      <c r="N161" s="909"/>
      <c r="O161" s="909"/>
      <c r="P161" s="845"/>
    </row>
    <row r="162" spans="3:19" ht="15.75" thickBot="1" x14ac:dyDescent="0.3">
      <c r="D162" s="781"/>
      <c r="H162" s="745"/>
      <c r="I162" s="745"/>
      <c r="J162" s="745"/>
      <c r="K162" s="7" t="str">
        <f>+O162</f>
        <v>OBRA CIVIL</v>
      </c>
      <c r="L162" s="7" t="str">
        <f>+P162</f>
        <v>SUMINISTRO</v>
      </c>
      <c r="M162" s="745"/>
      <c r="O162" s="945" t="str">
        <f>+F9</f>
        <v>OBRA CIVIL</v>
      </c>
      <c r="P162" s="20" t="str">
        <f>+F115</f>
        <v>SUMINISTRO</v>
      </c>
    </row>
    <row r="163" spans="3:19" x14ac:dyDescent="0.25">
      <c r="C163" s="782"/>
      <c r="D163" s="783"/>
      <c r="E163" s="783"/>
      <c r="F163" s="783" t="s">
        <v>19</v>
      </c>
      <c r="G163" s="818"/>
      <c r="H163" s="783"/>
      <c r="I163" s="783"/>
      <c r="J163" s="783"/>
      <c r="K163" s="784">
        <f>+SUM(L11:L114)</f>
        <v>0</v>
      </c>
      <c r="L163" s="784"/>
      <c r="M163" s="783"/>
      <c r="N163" s="933"/>
      <c r="O163" s="784">
        <f>+SUM(P11:P114)</f>
        <v>0</v>
      </c>
      <c r="P163" s="919"/>
    </row>
    <row r="164" spans="3:19" x14ac:dyDescent="0.25">
      <c r="C164" s="785"/>
      <c r="D164" s="786"/>
      <c r="E164" s="786"/>
      <c r="F164" s="786" t="s">
        <v>20</v>
      </c>
      <c r="G164" s="821"/>
      <c r="H164" s="786"/>
      <c r="I164" s="786"/>
      <c r="J164" s="786"/>
      <c r="K164" s="787"/>
      <c r="L164" s="787">
        <f>+SUM(L117:L160)</f>
        <v>0</v>
      </c>
      <c r="M164" s="786"/>
      <c r="N164" s="934"/>
      <c r="O164" s="787"/>
      <c r="P164" s="920">
        <f>+SUM(P117:P160)*1.16</f>
        <v>175356085.10079998</v>
      </c>
    </row>
    <row r="165" spans="3:19" x14ac:dyDescent="0.25">
      <c r="C165" s="785"/>
      <c r="D165" s="786"/>
      <c r="E165" s="786"/>
      <c r="F165" s="786" t="s">
        <v>21</v>
      </c>
      <c r="G165" s="821"/>
      <c r="H165" s="786"/>
      <c r="I165" s="786"/>
      <c r="J165" s="786"/>
      <c r="K165" s="788">
        <f>+K163</f>
        <v>0</v>
      </c>
      <c r="L165" s="788">
        <f>+L164</f>
        <v>0</v>
      </c>
      <c r="M165" s="786"/>
      <c r="N165" s="934"/>
      <c r="O165" s="788">
        <f>+O163</f>
        <v>0</v>
      </c>
      <c r="P165" s="961">
        <f>+P164</f>
        <v>175356085.10079998</v>
      </c>
    </row>
    <row r="166" spans="3:19" x14ac:dyDescent="0.25">
      <c r="C166" s="789"/>
      <c r="D166" s="790"/>
      <c r="E166" s="790"/>
      <c r="F166" s="791" t="s">
        <v>22</v>
      </c>
      <c r="G166" s="825"/>
      <c r="H166" s="790"/>
      <c r="I166" s="790"/>
      <c r="J166" s="790"/>
      <c r="K166" s="1427">
        <f>+L165+K165</f>
        <v>0</v>
      </c>
      <c r="L166" s="1427"/>
      <c r="M166" s="790"/>
      <c r="N166" s="791"/>
      <c r="O166" s="1427">
        <f>+P165+O165</f>
        <v>175356085.10079998</v>
      </c>
      <c r="P166" s="1427"/>
    </row>
    <row r="167" spans="3:19" x14ac:dyDescent="0.25">
      <c r="C167" s="792"/>
      <c r="D167" s="793"/>
      <c r="E167" s="793"/>
      <c r="F167" s="786" t="s">
        <v>337</v>
      </c>
      <c r="G167" s="828"/>
      <c r="H167" s="793"/>
      <c r="I167" s="793"/>
      <c r="J167" s="793"/>
      <c r="K167" s="787" t="e">
        <f>+K165*$N167</f>
        <v>#DIV/0!</v>
      </c>
      <c r="L167" s="787"/>
      <c r="M167" s="793"/>
      <c r="N167" s="935" t="e">
        <f>ROUND(AU!G70,2)</f>
        <v>#DIV/0!</v>
      </c>
      <c r="O167" s="787" t="e">
        <f>+O165*$N167</f>
        <v>#DIV/0!</v>
      </c>
      <c r="P167" s="920"/>
    </row>
    <row r="168" spans="3:19" x14ac:dyDescent="0.25">
      <c r="C168" s="792"/>
      <c r="D168" s="793"/>
      <c r="E168" s="793"/>
      <c r="F168" s="786" t="s">
        <v>338</v>
      </c>
      <c r="G168" s="828"/>
      <c r="H168" s="793"/>
      <c r="I168" s="793"/>
      <c r="J168" s="793"/>
      <c r="K168" s="787"/>
      <c r="L168" s="787">
        <f>+L165*$N168</f>
        <v>0</v>
      </c>
      <c r="M168" s="793"/>
      <c r="N168" s="935">
        <v>0.08</v>
      </c>
      <c r="O168" s="787"/>
      <c r="P168" s="920">
        <f>+P165*$N168</f>
        <v>14028486.808063999</v>
      </c>
    </row>
    <row r="169" spans="3:19" x14ac:dyDescent="0.25">
      <c r="C169" s="789"/>
      <c r="D169" s="790"/>
      <c r="E169" s="790"/>
      <c r="F169" s="791" t="s">
        <v>23</v>
      </c>
      <c r="G169" s="825"/>
      <c r="H169" s="790"/>
      <c r="I169" s="790"/>
      <c r="J169" s="790"/>
      <c r="K169" s="1427" t="e">
        <f>+K167+L168</f>
        <v>#DIV/0!</v>
      </c>
      <c r="L169" s="1427"/>
      <c r="M169" s="790"/>
      <c r="N169" s="791"/>
      <c r="O169" s="1427" t="e">
        <f>+O167+P168</f>
        <v>#DIV/0!</v>
      </c>
      <c r="P169" s="1427"/>
      <c r="S169" s="755"/>
    </row>
    <row r="170" spans="3:19" x14ac:dyDescent="0.25">
      <c r="C170" s="792"/>
      <c r="D170" s="793"/>
      <c r="E170" s="793"/>
      <c r="F170" s="786" t="s">
        <v>24</v>
      </c>
      <c r="G170" s="828"/>
      <c r="H170" s="793"/>
      <c r="I170" s="793"/>
      <c r="J170" s="793"/>
      <c r="K170" s="788" t="e">
        <f>+K167+K165</f>
        <v>#DIV/0!</v>
      </c>
      <c r="L170" s="788">
        <f>+L168+L165</f>
        <v>0</v>
      </c>
      <c r="M170" s="793"/>
      <c r="N170" s="935"/>
      <c r="O170" s="788" t="e">
        <f>+O167+O165</f>
        <v>#DIV/0!</v>
      </c>
      <c r="P170" s="961">
        <f>+P168+P165</f>
        <v>189384571.90886396</v>
      </c>
    </row>
    <row r="171" spans="3:19" x14ac:dyDescent="0.25">
      <c r="C171" s="789"/>
      <c r="D171" s="790"/>
      <c r="E171" s="790"/>
      <c r="F171" s="791" t="s">
        <v>25</v>
      </c>
      <c r="G171" s="825"/>
      <c r="H171" s="790"/>
      <c r="I171" s="790"/>
      <c r="J171" s="790"/>
      <c r="K171" s="1427" t="e">
        <f>+K170+L170</f>
        <v>#DIV/0!</v>
      </c>
      <c r="L171" s="1427"/>
      <c r="M171" s="790"/>
      <c r="N171" s="791"/>
      <c r="O171" s="1427" t="e">
        <f>+O170+P170</f>
        <v>#DIV/0!</v>
      </c>
      <c r="P171" s="1427"/>
    </row>
    <row r="172" spans="3:19" x14ac:dyDescent="0.25">
      <c r="C172" s="792"/>
      <c r="D172" s="793"/>
      <c r="E172" s="793"/>
      <c r="F172" s="786" t="s">
        <v>40</v>
      </c>
      <c r="G172" s="828"/>
      <c r="H172" s="793"/>
      <c r="I172" s="793"/>
      <c r="J172" s="793"/>
      <c r="K172" s="787" t="e">
        <f>+K170*$N172</f>
        <v>#DIV/0!</v>
      </c>
      <c r="L172" s="787"/>
      <c r="M172" s="793"/>
      <c r="N172" s="935">
        <v>0.08</v>
      </c>
      <c r="O172" s="787" t="e">
        <f>+O170*$N172</f>
        <v>#DIV/0!</v>
      </c>
      <c r="P172" s="920"/>
    </row>
    <row r="173" spans="3:19" x14ac:dyDescent="0.25">
      <c r="C173" s="792"/>
      <c r="D173" s="793"/>
      <c r="E173" s="793"/>
      <c r="F173" s="786" t="s">
        <v>41</v>
      </c>
      <c r="G173" s="828"/>
      <c r="H173" s="793"/>
      <c r="I173" s="793"/>
      <c r="J173" s="793"/>
      <c r="K173" s="787"/>
      <c r="L173" s="787">
        <f>+L170*$N173</f>
        <v>0</v>
      </c>
      <c r="M173" s="793"/>
      <c r="N173" s="935">
        <v>0.02</v>
      </c>
      <c r="O173" s="787"/>
      <c r="P173" s="920">
        <f>+P170*$N173</f>
        <v>3787691.4381772792</v>
      </c>
    </row>
    <row r="174" spans="3:19" x14ac:dyDescent="0.25">
      <c r="C174" s="789"/>
      <c r="D174" s="790"/>
      <c r="E174" s="790"/>
      <c r="F174" s="791" t="s">
        <v>26</v>
      </c>
      <c r="G174" s="825"/>
      <c r="H174" s="790"/>
      <c r="I174" s="790"/>
      <c r="J174" s="790"/>
      <c r="K174" s="1427" t="e">
        <f>+L173+K172</f>
        <v>#DIV/0!</v>
      </c>
      <c r="L174" s="1427"/>
      <c r="M174" s="790"/>
      <c r="N174" s="791"/>
      <c r="O174" s="1427" t="e">
        <f>+P173+O172</f>
        <v>#DIV/0!</v>
      </c>
      <c r="P174" s="1427"/>
    </row>
    <row r="175" spans="3:19" x14ac:dyDescent="0.25">
      <c r="C175" s="792"/>
      <c r="D175" s="793"/>
      <c r="E175" s="793"/>
      <c r="F175" s="794"/>
      <c r="G175" s="828"/>
      <c r="H175" s="793"/>
      <c r="I175" s="793"/>
      <c r="J175" s="793"/>
      <c r="K175" s="788" t="e">
        <f>+K172+K170</f>
        <v>#DIV/0!</v>
      </c>
      <c r="L175" s="788">
        <f>+L173+L170</f>
        <v>0</v>
      </c>
      <c r="M175" s="793"/>
      <c r="N175" s="935"/>
      <c r="O175" s="788" t="e">
        <f>+O172+O170</f>
        <v>#DIV/0!</v>
      </c>
      <c r="P175" s="961">
        <f>+P173+P170</f>
        <v>193172263.34704125</v>
      </c>
    </row>
    <row r="176" spans="3:19" x14ac:dyDescent="0.25">
      <c r="C176" s="789"/>
      <c r="D176" s="790"/>
      <c r="E176" s="790"/>
      <c r="F176" s="795" t="s">
        <v>27</v>
      </c>
      <c r="G176" s="825"/>
      <c r="H176" s="790"/>
      <c r="I176" s="790"/>
      <c r="J176" s="790"/>
      <c r="K176" s="1427" t="e">
        <f>+K175+L175</f>
        <v>#DIV/0!</v>
      </c>
      <c r="L176" s="1427"/>
      <c r="M176" s="790"/>
      <c r="N176" s="791"/>
      <c r="O176" s="1427" t="e">
        <f>+O175+P175</f>
        <v>#DIV/0!</v>
      </c>
      <c r="P176" s="1427"/>
    </row>
    <row r="177" spans="3:16" x14ac:dyDescent="0.25">
      <c r="C177" s="792"/>
      <c r="D177" s="793"/>
      <c r="E177" s="793"/>
      <c r="F177" s="786" t="s">
        <v>28</v>
      </c>
      <c r="G177" s="828"/>
      <c r="H177" s="793"/>
      <c r="I177" s="793"/>
      <c r="J177" s="793"/>
      <c r="K177" s="787" t="e">
        <f>+K175*$N177/(1-$N177)</f>
        <v>#DIV/0!</v>
      </c>
      <c r="L177" s="787"/>
      <c r="M177" s="793"/>
      <c r="N177" s="935">
        <v>0.02</v>
      </c>
      <c r="O177" s="787" t="e">
        <f>+O175*$N177/(1-$N177)</f>
        <v>#DIV/0!</v>
      </c>
      <c r="P177" s="920"/>
    </row>
    <row r="178" spans="3:16" x14ac:dyDescent="0.25">
      <c r="C178" s="792"/>
      <c r="D178" s="793"/>
      <c r="E178" s="793"/>
      <c r="F178" s="786"/>
      <c r="G178" s="828"/>
      <c r="H178" s="793"/>
      <c r="I178" s="793"/>
      <c r="J178" s="793"/>
      <c r="K178" s="787"/>
      <c r="L178" s="787">
        <f>+L175*$N178/(1-$N178)</f>
        <v>0</v>
      </c>
      <c r="M178" s="793"/>
      <c r="N178" s="935">
        <v>0.02</v>
      </c>
      <c r="O178" s="787"/>
      <c r="P178" s="920">
        <f>+P175*$N178/(1-$N178)</f>
        <v>3942291.0887151277</v>
      </c>
    </row>
    <row r="179" spans="3:16" x14ac:dyDescent="0.25">
      <c r="C179" s="789"/>
      <c r="D179" s="790"/>
      <c r="E179" s="790"/>
      <c r="F179" s="791" t="s">
        <v>29</v>
      </c>
      <c r="G179" s="825"/>
      <c r="H179" s="790"/>
      <c r="I179" s="790"/>
      <c r="J179" s="790"/>
      <c r="K179" s="1427" t="e">
        <f>+K177+L178</f>
        <v>#DIV/0!</v>
      </c>
      <c r="L179" s="1427"/>
      <c r="M179" s="790"/>
      <c r="N179" s="791"/>
      <c r="O179" s="1427" t="e">
        <f>+O177+P178</f>
        <v>#DIV/0!</v>
      </c>
      <c r="P179" s="1427"/>
    </row>
    <row r="180" spans="3:16" x14ac:dyDescent="0.25">
      <c r="C180" s="792"/>
      <c r="D180" s="793"/>
      <c r="E180" s="793"/>
      <c r="F180" s="786" t="s">
        <v>30</v>
      </c>
      <c r="G180" s="828"/>
      <c r="H180" s="793"/>
      <c r="I180" s="793"/>
      <c r="J180" s="793"/>
      <c r="K180" s="788" t="e">
        <f>+K177+K175</f>
        <v>#DIV/0!</v>
      </c>
      <c r="L180" s="788">
        <f>+L178+L175</f>
        <v>0</v>
      </c>
      <c r="M180" s="793"/>
      <c r="N180" s="935"/>
      <c r="O180" s="788" t="e">
        <f>+O177+O175</f>
        <v>#DIV/0!</v>
      </c>
      <c r="P180" s="961">
        <f>+P178+P175</f>
        <v>197114554.43575639</v>
      </c>
    </row>
    <row r="181" spans="3:16" ht="15.75" thickBot="1" x14ac:dyDescent="0.3">
      <c r="C181" s="796"/>
      <c r="D181" s="797"/>
      <c r="E181" s="797"/>
      <c r="F181" s="798" t="s">
        <v>31</v>
      </c>
      <c r="G181" s="832"/>
      <c r="H181" s="797"/>
      <c r="I181" s="797"/>
      <c r="J181" s="797"/>
      <c r="K181" s="1429" t="e">
        <f>+K180+L180</f>
        <v>#DIV/0!</v>
      </c>
      <c r="L181" s="1429"/>
      <c r="M181" s="797"/>
      <c r="N181" s="936"/>
      <c r="O181" s="1429" t="e">
        <f>+O180+P180</f>
        <v>#DIV/0!</v>
      </c>
      <c r="P181" s="1429"/>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1"/>
  <sheetViews>
    <sheetView topLeftCell="F1" workbookViewId="0">
      <selection activeCell="R11" sqref="R11:S161"/>
    </sheetView>
  </sheetViews>
  <sheetFormatPr baseColWidth="10" defaultColWidth="9.140625" defaultRowHeight="15" x14ac:dyDescent="0.25"/>
  <cols>
    <col min="1" max="1" width="3.7109375" style="745" customWidth="1"/>
    <col min="2" max="2" width="11.28515625" style="745" hidden="1" customWidth="1"/>
    <col min="3" max="3" width="14.28515625" style="750" customWidth="1"/>
    <col min="4" max="4" width="9.28515625" style="777" customWidth="1"/>
    <col min="5" max="5" width="9.5703125" style="777" customWidth="1"/>
    <col min="6" max="6" width="60.28515625" style="777" customWidth="1"/>
    <col min="7" max="7" width="11" style="777" customWidth="1"/>
    <col min="8" max="11" width="14.5703125" style="777" hidden="1" customWidth="1"/>
    <col min="12" max="13" width="15.140625" style="777" hidden="1" customWidth="1"/>
    <col min="14" max="14" width="12.42578125" style="777" customWidth="1"/>
    <col min="15" max="15" width="17.7109375" style="777" customWidth="1"/>
    <col min="16" max="16" width="21" style="777" bestFit="1" customWidth="1"/>
    <col min="17" max="17" width="3.7109375" style="745" customWidth="1"/>
    <col min="18" max="18" width="21.7109375" style="745" customWidth="1"/>
    <col min="19" max="19" width="25.5703125" style="745" customWidth="1"/>
    <col min="20" max="20" width="24.7109375" style="745" customWidth="1"/>
    <col min="21" max="16384" width="9.140625" style="745"/>
  </cols>
  <sheetData>
    <row r="2" spans="2:20" x14ac:dyDescent="0.25">
      <c r="C2" s="1428" t="s">
        <v>372</v>
      </c>
      <c r="D2" s="1428"/>
      <c r="E2" s="1428"/>
      <c r="F2" s="1428"/>
      <c r="G2" s="1428"/>
      <c r="H2" s="1428"/>
      <c r="I2" s="1428"/>
      <c r="J2" s="1428"/>
      <c r="K2" s="1428"/>
      <c r="L2" s="1428"/>
      <c r="M2" s="1428"/>
      <c r="N2" s="1428"/>
      <c r="O2" s="1428"/>
      <c r="P2" s="1428"/>
    </row>
    <row r="3" spans="2:20" x14ac:dyDescent="0.25">
      <c r="C3" s="1428"/>
      <c r="D3" s="1428"/>
      <c r="E3" s="1428"/>
      <c r="F3" s="1428"/>
      <c r="G3" s="1428"/>
      <c r="H3" s="1428"/>
      <c r="I3" s="1428"/>
      <c r="J3" s="1428"/>
      <c r="K3" s="1428"/>
      <c r="L3" s="1428"/>
      <c r="M3" s="1428"/>
      <c r="N3" s="1428"/>
      <c r="O3" s="1428"/>
      <c r="P3" s="1428"/>
    </row>
    <row r="4" spans="2:20" x14ac:dyDescent="0.25">
      <c r="C4" s="746"/>
      <c r="D4" s="746"/>
      <c r="E4" s="746"/>
      <c r="F4" s="746" t="s">
        <v>473</v>
      </c>
      <c r="G4" s="746"/>
      <c r="H4" s="746"/>
      <c r="I4" s="746"/>
      <c r="J4" s="746"/>
      <c r="K4" s="746"/>
      <c r="L4" s="746"/>
      <c r="M4" s="746"/>
      <c r="N4" s="746"/>
      <c r="O4" s="746"/>
      <c r="P4" s="746"/>
    </row>
    <row r="6" spans="2:20" ht="15" customHeight="1" x14ac:dyDescent="0.25"/>
    <row r="7" spans="2:20" ht="36" customHeight="1" x14ac:dyDescent="0.25">
      <c r="C7" s="747" t="s">
        <v>53</v>
      </c>
      <c r="D7" s="747" t="s">
        <v>0</v>
      </c>
      <c r="E7" s="747" t="s">
        <v>43</v>
      </c>
      <c r="F7" s="747" t="s">
        <v>1</v>
      </c>
      <c r="G7" s="748" t="s">
        <v>2</v>
      </c>
      <c r="H7" s="748"/>
      <c r="I7" s="748"/>
      <c r="J7" s="748"/>
      <c r="K7" s="748"/>
      <c r="L7" s="748"/>
      <c r="M7" s="748"/>
      <c r="N7" s="748" t="s">
        <v>3</v>
      </c>
      <c r="O7" s="748" t="s">
        <v>4</v>
      </c>
      <c r="P7" s="748" t="s">
        <v>5</v>
      </c>
    </row>
    <row r="8" spans="2:20" x14ac:dyDescent="0.25">
      <c r="C8" s="846"/>
      <c r="D8" s="846"/>
      <c r="E8" s="846"/>
      <c r="F8" s="846"/>
      <c r="G8" s="846"/>
      <c r="H8" s="846"/>
      <c r="I8" s="846"/>
      <c r="J8" s="846"/>
      <c r="K8" s="846"/>
      <c r="L8" s="846"/>
      <c r="M8" s="846"/>
      <c r="N8" s="846"/>
      <c r="O8" s="846"/>
      <c r="P8" s="846"/>
    </row>
    <row r="9" spans="2:20" x14ac:dyDescent="0.25">
      <c r="C9" s="846"/>
      <c r="D9" s="747"/>
      <c r="E9" s="747"/>
      <c r="F9" s="749" t="s">
        <v>19</v>
      </c>
      <c r="G9" s="747"/>
      <c r="H9" s="747"/>
      <c r="I9" s="747"/>
      <c r="J9" s="747"/>
      <c r="K9" s="747"/>
      <c r="L9" s="747"/>
      <c r="M9" s="747"/>
      <c r="N9" s="747"/>
      <c r="O9" s="747"/>
      <c r="P9" s="747"/>
    </row>
    <row r="10" spans="2:20" x14ac:dyDescent="0.25">
      <c r="B10" s="750" t="str">
        <f>+'[3]1. Colector Principal'!C13</f>
        <v>Excavación manual en material común:</v>
      </c>
      <c r="C10" s="889"/>
      <c r="D10" s="751"/>
      <c r="E10" s="42">
        <v>1</v>
      </c>
      <c r="F10" s="45" t="s">
        <v>54</v>
      </c>
      <c r="G10" s="45"/>
      <c r="H10" s="44"/>
      <c r="I10" s="44"/>
      <c r="J10" s="44"/>
      <c r="K10" s="44"/>
      <c r="L10" s="44"/>
      <c r="M10" s="44"/>
      <c r="N10" s="39"/>
      <c r="O10" s="40" t="str">
        <f>IF(D10="","",VLOOKUP(D10,#REF!,7,0))</f>
        <v/>
      </c>
      <c r="P10" s="39" t="str">
        <f>IF(ISERROR(+N10*O10),"",+N10*O10)</f>
        <v/>
      </c>
    </row>
    <row r="11" spans="2:20" ht="51" customHeight="1" x14ac:dyDescent="0.25">
      <c r="B11" s="750" t="str">
        <f>+'[3]1. Colector Principal'!C14</f>
        <v>Seco, entre 0 m y 2 m de profundidad</v>
      </c>
      <c r="C11" s="840" t="e">
        <f>'FORMATO PROPUESTA ECONÓMICA'!#REF!</f>
        <v>#REF!</v>
      </c>
      <c r="D11" s="753"/>
      <c r="E11" s="634">
        <f>'6. Presup. Sector 5'!E11</f>
        <v>1.1000000000000001</v>
      </c>
      <c r="F11" s="638"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754">
        <f>(N65+N66)*0.2</f>
        <v>384</v>
      </c>
      <c r="O11" s="623">
        <f>'FORMATO PROPUESTA ECONÓMICA'!E8</f>
        <v>0</v>
      </c>
      <c r="P11" s="623">
        <f>IF(ISERROR(+N11*O11),"",+N11*O11)</f>
        <v>0</v>
      </c>
      <c r="Q11" s="755"/>
      <c r="S11" s="1120"/>
    </row>
    <row r="12" spans="2:20" x14ac:dyDescent="0.25">
      <c r="B12" s="750" t="str">
        <f>+'[3]1. Colector Principal'!C15</f>
        <v>Seco, entre 2 m y 4 m de profundidad</v>
      </c>
      <c r="C12" s="840" t="e">
        <f>'FORMATO PROPUESTA ECONÓMICA'!#REF!</f>
        <v>#REF!</v>
      </c>
      <c r="D12" s="756"/>
      <c r="E12" s="634">
        <f>'6. Presup. Sector 5'!E12</f>
        <v>1.2</v>
      </c>
      <c r="F12" s="627"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754">
        <f>120*0.4</f>
        <v>48</v>
      </c>
      <c r="O12" s="623">
        <f>'FORMATO PROPUESTA ECONÓMICA'!E9</f>
        <v>0</v>
      </c>
      <c r="P12" s="629">
        <f>IF(ISERROR(+N12*O12),"",+N12*O12)</f>
        <v>0</v>
      </c>
      <c r="Q12" s="755"/>
      <c r="S12" s="1120"/>
    </row>
    <row r="13" spans="2:20" hidden="1" x14ac:dyDescent="0.25">
      <c r="B13" s="750" t="str">
        <f>+'[3]1. Colector Principal'!C16</f>
        <v>Seco, mayor a 4 m de profundidad</v>
      </c>
      <c r="C13" s="840" t="e">
        <f>'FORMATO PROPUESTA ECONÓMICA'!#REF!</f>
        <v>#REF!</v>
      </c>
      <c r="D13" s="756"/>
      <c r="E13" s="634">
        <f>'6. Presup. Sector 5'!E13</f>
        <v>1.3</v>
      </c>
      <c r="F13" s="627"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754">
        <v>0</v>
      </c>
      <c r="O13" s="623">
        <f>'FORMATO PROPUESTA ECONÓMICA'!E10</f>
        <v>0</v>
      </c>
      <c r="P13" s="629">
        <f>IF(ISERROR(+N13*O13),"",+N13*O13)</f>
        <v>0</v>
      </c>
      <c r="Q13" s="755"/>
      <c r="S13" s="1120"/>
    </row>
    <row r="14" spans="2:20" hidden="1" x14ac:dyDescent="0.25">
      <c r="B14" s="750" t="str">
        <f>+'[3]1. Colector Principal'!C17</f>
        <v>Húmedo , entre 0 m y 2 m de profundidad</v>
      </c>
      <c r="C14" s="840" t="e">
        <f>'FORMATO PROPUESTA ECONÓMICA'!#REF!</f>
        <v>#REF!</v>
      </c>
      <c r="D14" s="756"/>
      <c r="E14" s="634">
        <f>'6. Presup. Sector 5'!E14</f>
        <v>1.4</v>
      </c>
      <c r="F14" s="627"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754">
        <v>0</v>
      </c>
      <c r="O14" s="623">
        <f>'FORMATO PROPUESTA ECONÓMICA'!E11</f>
        <v>0</v>
      </c>
      <c r="P14" s="629">
        <f>IF(ISERROR(+N14*O14),"",+N14*O14)</f>
        <v>0</v>
      </c>
      <c r="Q14" s="755"/>
      <c r="S14" s="1120"/>
    </row>
    <row r="15" spans="2:20" x14ac:dyDescent="0.25">
      <c r="B15" s="750"/>
      <c r="C15" s="890"/>
      <c r="D15" s="758"/>
      <c r="E15" s="732">
        <f>'6. Presup. Sector 5'!E15</f>
        <v>2</v>
      </c>
      <c r="F15" s="574" t="s">
        <v>60</v>
      </c>
      <c r="G15" s="44"/>
      <c r="H15" s="39"/>
      <c r="I15" s="40"/>
      <c r="J15" s="41"/>
      <c r="K15" s="40"/>
      <c r="L15" s="40"/>
      <c r="M15" s="40"/>
      <c r="N15" s="760"/>
      <c r="O15" s="803"/>
      <c r="P15" s="39"/>
      <c r="Q15" s="755"/>
      <c r="R15" s="616"/>
      <c r="S15" s="1120"/>
      <c r="T15" s="745">
        <f>1.44*P15</f>
        <v>0</v>
      </c>
    </row>
    <row r="16" spans="2:20" x14ac:dyDescent="0.25">
      <c r="B16" s="750"/>
      <c r="C16" s="890"/>
      <c r="D16" s="758"/>
      <c r="E16" s="735">
        <f>'6. Presup. Sector 5'!E16</f>
        <v>2.1</v>
      </c>
      <c r="F16" s="574" t="s">
        <v>61</v>
      </c>
      <c r="G16" s="44"/>
      <c r="H16" s="39"/>
      <c r="I16" s="40"/>
      <c r="J16" s="41"/>
      <c r="K16" s="40"/>
      <c r="L16" s="40"/>
      <c r="M16" s="40"/>
      <c r="N16" s="760"/>
      <c r="O16" s="803"/>
      <c r="P16" s="39"/>
      <c r="Q16" s="755"/>
      <c r="R16" s="616"/>
      <c r="S16" s="1120"/>
    </row>
    <row r="17" spans="2:19" x14ac:dyDescent="0.25">
      <c r="B17" s="750"/>
      <c r="C17" s="840" t="e">
        <f>'FORMATO PROPUESTA ECONÓMICA'!#REF!</f>
        <v>#REF!</v>
      </c>
      <c r="D17" s="756"/>
      <c r="E17" s="620">
        <f>'6. Presup. Sector 5'!E17</f>
        <v>2.2000000000000002</v>
      </c>
      <c r="F17" s="632" t="s">
        <v>62</v>
      </c>
      <c r="G17" s="628" t="s">
        <v>15</v>
      </c>
      <c r="H17" s="629"/>
      <c r="I17" s="630"/>
      <c r="J17" s="631"/>
      <c r="K17" s="630"/>
      <c r="L17" s="630"/>
      <c r="M17" s="630"/>
      <c r="N17" s="759">
        <f>+(N36)*0.6*1+N65*0.4*0.5</f>
        <v>3204</v>
      </c>
      <c r="O17" s="623">
        <f>'FORMATO PROPUESTA ECONÓMICA'!E14</f>
        <v>0</v>
      </c>
      <c r="P17" s="629">
        <f>IF(ISERROR(+N17*O17),"",+N17*O17)</f>
        <v>0</v>
      </c>
      <c r="Q17" s="755"/>
      <c r="R17" s="616"/>
      <c r="S17" s="1120"/>
    </row>
    <row r="18" spans="2:19" ht="45" hidden="1" x14ac:dyDescent="0.25">
      <c r="B18" s="750"/>
      <c r="C18" s="840" t="e">
        <f>'FORMATO PROPUESTA ECONÓMICA'!#REF!</f>
        <v>#REF!</v>
      </c>
      <c r="D18" s="756"/>
      <c r="E18" s="620">
        <f>'6. Presup. Sector 5'!E18</f>
        <v>2.2999999999999998</v>
      </c>
      <c r="F18" s="632" t="s">
        <v>431</v>
      </c>
      <c r="G18" s="628" t="s">
        <v>15</v>
      </c>
      <c r="H18" s="629"/>
      <c r="I18" s="630"/>
      <c r="J18" s="631"/>
      <c r="K18" s="630"/>
      <c r="L18" s="630"/>
      <c r="M18" s="630"/>
      <c r="N18" s="759"/>
      <c r="O18" s="623">
        <f>'FORMATO PROPUESTA ECONÓMICA'!E15</f>
        <v>0</v>
      </c>
      <c r="P18" s="629">
        <f>IF(ISERROR(+N18*O18),"",+N18*O18)</f>
        <v>0</v>
      </c>
      <c r="Q18" s="755"/>
      <c r="R18" s="616"/>
      <c r="S18" s="1120"/>
    </row>
    <row r="19" spans="2:19" ht="96.75" customHeight="1" x14ac:dyDescent="0.25">
      <c r="B19" s="750" t="str">
        <f>+'[3]1. Colector Principal'!C22</f>
        <v>Entibados en madera</v>
      </c>
      <c r="C19" s="890" t="e">
        <f>'FORMATO PROPUESTA ECONÓMICA'!#REF!</f>
        <v>#REF!</v>
      </c>
      <c r="D19" s="758"/>
      <c r="E19" s="732">
        <f>'6. Presup. Sector 5'!E19</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760"/>
      <c r="O19" s="803"/>
      <c r="P19" s="39"/>
      <c r="Q19" s="755"/>
      <c r="R19" s="616"/>
      <c r="S19" s="1120"/>
    </row>
    <row r="20" spans="2:19" ht="30" x14ac:dyDescent="0.25">
      <c r="B20" s="750"/>
      <c r="C20" s="840" t="e">
        <f>'FORMATO PROPUESTA ECONÓMICA'!#REF!</f>
        <v>#REF!</v>
      </c>
      <c r="D20" s="756"/>
      <c r="E20" s="620">
        <f>'6. Presup. Sector 5'!E20</f>
        <v>3.1</v>
      </c>
      <c r="F20" s="633" t="s">
        <v>64</v>
      </c>
      <c r="G20" s="628" t="s">
        <v>15</v>
      </c>
      <c r="H20" s="629"/>
      <c r="I20" s="630"/>
      <c r="J20" s="631"/>
      <c r="K20" s="630"/>
      <c r="L20" s="630"/>
      <c r="M20" s="630"/>
      <c r="N20" s="754">
        <f>N17*0.2</f>
        <v>640.80000000000007</v>
      </c>
      <c r="O20" s="623">
        <f>'FORMATO PROPUESTA ECONÓMICA'!E18</f>
        <v>0</v>
      </c>
      <c r="P20" s="629">
        <f>IF(ISERROR(+N20*O20),"",+N20*O20)</f>
        <v>0</v>
      </c>
      <c r="Q20" s="755"/>
      <c r="R20" s="616"/>
      <c r="S20" s="1120"/>
    </row>
    <row r="21" spans="2:19" ht="30" x14ac:dyDescent="0.25">
      <c r="B21" s="750"/>
      <c r="C21" s="840" t="e">
        <f>'FORMATO PROPUESTA ECONÓMICA'!#REF!</f>
        <v>#REF!</v>
      </c>
      <c r="D21" s="756"/>
      <c r="E21" s="620">
        <f>'6. Presup. Sector 5'!E21</f>
        <v>3.2</v>
      </c>
      <c r="F21" s="633" t="s">
        <v>65</v>
      </c>
      <c r="G21" s="628" t="s">
        <v>15</v>
      </c>
      <c r="H21" s="629"/>
      <c r="I21" s="630"/>
      <c r="J21" s="631"/>
      <c r="K21" s="630"/>
      <c r="L21" s="630"/>
      <c r="M21" s="630"/>
      <c r="N21" s="761">
        <f>+N17*0.5-N25</f>
        <v>1414</v>
      </c>
      <c r="O21" s="623">
        <f>'FORMATO PROPUESTA ECONÓMICA'!E19</f>
        <v>0</v>
      </c>
      <c r="P21" s="629">
        <f>IF(ISERROR(+N21*O21),"",+N21*O21)</f>
        <v>0</v>
      </c>
      <c r="Q21" s="755"/>
      <c r="R21" s="616"/>
      <c r="S21" s="1120"/>
    </row>
    <row r="22" spans="2:19" ht="30" x14ac:dyDescent="0.25">
      <c r="B22" s="750"/>
      <c r="C22" s="840" t="e">
        <f>'FORMATO PROPUESTA ECONÓMICA'!#REF!</f>
        <v>#REF!</v>
      </c>
      <c r="D22" s="756"/>
      <c r="E22" s="620">
        <f>'6. Presup. Sector 5'!E22</f>
        <v>3.3</v>
      </c>
      <c r="F22" s="633" t="s">
        <v>66</v>
      </c>
      <c r="G22" s="628" t="s">
        <v>15</v>
      </c>
      <c r="H22" s="629"/>
      <c r="I22" s="630"/>
      <c r="J22" s="631"/>
      <c r="K22" s="630"/>
      <c r="L22" s="630"/>
      <c r="M22" s="630"/>
      <c r="N22" s="754">
        <f>N17*0.3</f>
        <v>961.19999999999993</v>
      </c>
      <c r="O22" s="623">
        <f>'FORMATO PROPUESTA ECONÓMICA'!E20</f>
        <v>0</v>
      </c>
      <c r="P22" s="629">
        <f>IF(ISERROR(+N22*O22),"",+N22*O22)</f>
        <v>0</v>
      </c>
      <c r="Q22" s="755"/>
      <c r="R22" s="616"/>
      <c r="S22" s="1120"/>
    </row>
    <row r="23" spans="2:19" x14ac:dyDescent="0.25">
      <c r="B23" s="750"/>
      <c r="C23" s="840" t="e">
        <f>'FORMATO PROPUESTA ECONÓMICA'!#REF!</f>
        <v>#REF!</v>
      </c>
      <c r="D23" s="753"/>
      <c r="E23" s="620">
        <f>'6. Presup. Sector 5'!E23</f>
        <v>3.4</v>
      </c>
      <c r="F23" s="633" t="s">
        <v>67</v>
      </c>
      <c r="G23" s="628"/>
      <c r="H23" s="629"/>
      <c r="I23" s="630"/>
      <c r="J23" s="631"/>
      <c r="K23" s="630"/>
      <c r="L23" s="630"/>
      <c r="M23" s="630"/>
      <c r="N23" s="754">
        <f>N109</f>
        <v>4</v>
      </c>
      <c r="O23" s="623">
        <f>'FORMATO PROPUESTA ECONÓMICA'!E21</f>
        <v>0</v>
      </c>
      <c r="P23" s="629">
        <f t="shared" ref="P23:P25" si="1">IF(ISERROR(+N23*O23),"",+N23*O23)</f>
        <v>0</v>
      </c>
      <c r="Q23" s="755"/>
      <c r="R23" s="616"/>
      <c r="S23" s="1120"/>
    </row>
    <row r="24" spans="2:19" hidden="1" x14ac:dyDescent="0.25">
      <c r="B24" s="750"/>
      <c r="C24" s="840" t="e">
        <f>'FORMATO PROPUESTA ECONÓMICA'!#REF!</f>
        <v>#REF!</v>
      </c>
      <c r="D24" s="756"/>
      <c r="E24" s="620">
        <f>'6. Presup. Sector 5'!E24</f>
        <v>3.5</v>
      </c>
      <c r="F24" s="633" t="s">
        <v>68</v>
      </c>
      <c r="G24" s="628" t="s">
        <v>15</v>
      </c>
      <c r="H24" s="629"/>
      <c r="I24" s="630"/>
      <c r="J24" s="631"/>
      <c r="K24" s="630"/>
      <c r="L24" s="630"/>
      <c r="M24" s="630"/>
      <c r="N24" s="754"/>
      <c r="O24" s="623">
        <f>'FORMATO PROPUESTA ECONÓMICA'!E22</f>
        <v>0</v>
      </c>
      <c r="P24" s="629">
        <f t="shared" si="1"/>
        <v>0</v>
      </c>
      <c r="Q24" s="755"/>
      <c r="R24" s="616"/>
      <c r="S24" s="1120"/>
    </row>
    <row r="25" spans="2:19" x14ac:dyDescent="0.25">
      <c r="B25" s="750"/>
      <c r="C25" s="840" t="e">
        <f>'FORMATO PROPUESTA ECONÓMICA'!#REF!</f>
        <v>#REF!</v>
      </c>
      <c r="D25" s="756"/>
      <c r="E25" s="620">
        <f>'6. Presup. Sector 5'!E25</f>
        <v>3.6</v>
      </c>
      <c r="F25" s="633" t="s">
        <v>441</v>
      </c>
      <c r="G25" s="628" t="s">
        <v>15</v>
      </c>
      <c r="H25" s="629"/>
      <c r="I25" s="630"/>
      <c r="J25" s="631"/>
      <c r="K25" s="630"/>
      <c r="L25" s="630"/>
      <c r="M25" s="630"/>
      <c r="N25" s="754">
        <f>(N36)*0.4*0.1</f>
        <v>188</v>
      </c>
      <c r="O25" s="623">
        <f>'FORMATO PROPUESTA ECONÓMICA'!E23</f>
        <v>0</v>
      </c>
      <c r="P25" s="629">
        <f t="shared" si="1"/>
        <v>0</v>
      </c>
      <c r="Q25" s="755"/>
      <c r="R25" s="616"/>
      <c r="S25" s="1120"/>
    </row>
    <row r="26" spans="2:19" x14ac:dyDescent="0.25">
      <c r="B26" s="750" t="str">
        <f>+'[3]1. Colector Principal'!C25</f>
        <v>Lleno y apisonado de zanjas y apiques con</v>
      </c>
      <c r="C26" s="890" t="e">
        <f>'FORMATO PROPUESTA ECONÓMICA'!#REF!</f>
        <v>#REF!</v>
      </c>
      <c r="D26" s="758"/>
      <c r="E26" s="732">
        <f>'6. Presup. Sector 5'!E26</f>
        <v>4</v>
      </c>
      <c r="F26" s="43" t="s">
        <v>69</v>
      </c>
      <c r="G26" s="44"/>
      <c r="H26" s="39">
        <f>IF(ISERROR(VLOOKUP($D26,[4]Ppto!$A$3:$F$100,4,)),0,VLOOKUP($D26,[4]Ppto!$A$3:$F$100,4,))</f>
        <v>0</v>
      </c>
      <c r="I26" s="40">
        <f>IF(ISERROR(VLOOKUP($D26,[4]Ppto!$A$3:$F$100,5,)),0,VLOOKUP($D26,[4]Ppto!$A$3:$F$100,5,))</f>
        <v>0</v>
      </c>
      <c r="J26" s="41">
        <v>1</v>
      </c>
      <c r="K26" s="40">
        <f>+I26-O27</f>
        <v>0</v>
      </c>
      <c r="L26" s="40">
        <f t="shared" si="0"/>
        <v>0</v>
      </c>
      <c r="M26" s="40">
        <f>+L26-P26</f>
        <v>0</v>
      </c>
      <c r="N26" s="760"/>
      <c r="O26" s="803"/>
      <c r="P26" s="39"/>
      <c r="Q26" s="755"/>
      <c r="R26" s="616"/>
      <c r="S26" s="1120"/>
    </row>
    <row r="27" spans="2:19" ht="30" x14ac:dyDescent="0.25">
      <c r="B27" s="750" t="str">
        <f>+'[3]1. Colector Principal'!C26</f>
        <v>Material selecto de la excavación</v>
      </c>
      <c r="C27" s="840" t="e">
        <f>'FORMATO PROPUESTA ECONÓMICA'!#REF!</f>
        <v>#REF!</v>
      </c>
      <c r="D27" s="756"/>
      <c r="E27" s="620">
        <f>'6. Presup. Sector 5'!E27</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759">
        <f>(N22+N21+N25)</f>
        <v>2563.1999999999998</v>
      </c>
      <c r="O27" s="623">
        <f>'FORMATO PROPUESTA ECONÓMICA'!E25</f>
        <v>0</v>
      </c>
      <c r="P27" s="629">
        <f>IF(ISERROR(+N27*O27),"",+N27*O27)</f>
        <v>0</v>
      </c>
      <c r="Q27" s="755"/>
      <c r="R27" s="616"/>
      <c r="S27" s="1120"/>
    </row>
    <row r="28" spans="2:19" ht="30" x14ac:dyDescent="0.25">
      <c r="B28" s="750" t="str">
        <f>+'[3]1. Colector Principal'!C28</f>
        <v>Cargue, retiro y botada de material sobrante</v>
      </c>
      <c r="C28" s="890" t="e">
        <f>'FORMATO PROPUESTA ECONÓMICA'!#REF!</f>
        <v>#REF!</v>
      </c>
      <c r="D28" s="758"/>
      <c r="E28" s="732">
        <f>'6. Presup. Sector 5'!E28</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760"/>
      <c r="O28" s="803"/>
      <c r="P28" s="39"/>
      <c r="Q28" s="755"/>
      <c r="R28" s="616"/>
      <c r="S28" s="1120"/>
    </row>
    <row r="29" spans="2:19" x14ac:dyDescent="0.25">
      <c r="B29" s="750" t="str">
        <f>+'[3]1. Colector Principal'!C29</f>
        <v>Retiro y disposición final de material sobrante a cualquier distancia</v>
      </c>
      <c r="C29" s="840" t="e">
        <f>'FORMATO PROPUESTA ECONÓMICA'!#REF!</f>
        <v>#REF!</v>
      </c>
      <c r="D29" s="756"/>
      <c r="E29" s="620">
        <f>'6. Presup. Sector 5'!E29</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759">
        <f>+N11</f>
        <v>384</v>
      </c>
      <c r="O29" s="623">
        <f>'FORMATO PROPUESTA ECONÓMICA'!E27</f>
        <v>0</v>
      </c>
      <c r="P29" s="629">
        <f>IF(ISERROR(+N29*O29),"",+N29*O29)</f>
        <v>0</v>
      </c>
      <c r="Q29" s="755"/>
      <c r="R29" s="616"/>
      <c r="S29" s="1120"/>
    </row>
    <row r="30" spans="2:19" x14ac:dyDescent="0.25">
      <c r="B30" s="750"/>
      <c r="C30" s="840" t="e">
        <f>'FORMATO PROPUESTA ECONÓMICA'!#REF!</f>
        <v>#REF!</v>
      </c>
      <c r="D30" s="756"/>
      <c r="E30" s="620">
        <f>'6. Presup. Sector 5'!E30</f>
        <v>5.2</v>
      </c>
      <c r="F30" s="633" t="s">
        <v>74</v>
      </c>
      <c r="G30" s="628" t="s">
        <v>73</v>
      </c>
      <c r="H30" s="629"/>
      <c r="I30" s="630"/>
      <c r="J30" s="631"/>
      <c r="K30" s="630"/>
      <c r="L30" s="630"/>
      <c r="M30" s="630"/>
      <c r="N30" s="759">
        <f>+N12</f>
        <v>48</v>
      </c>
      <c r="O30" s="623">
        <f>'FORMATO PROPUESTA ECONÓMICA'!E28</f>
        <v>0</v>
      </c>
      <c r="P30" s="629">
        <f>IF(ISERROR(+N30*O30),"",+N30*O30)</f>
        <v>0</v>
      </c>
      <c r="Q30" s="755"/>
      <c r="R30" s="616"/>
      <c r="S30" s="1120"/>
    </row>
    <row r="31" spans="2:19" ht="30" hidden="1" x14ac:dyDescent="0.25">
      <c r="B31" s="750"/>
      <c r="C31" s="840" t="e">
        <f>'FORMATO PROPUESTA ECONÓMICA'!#REF!</f>
        <v>#REF!</v>
      </c>
      <c r="D31" s="756"/>
      <c r="E31" s="620">
        <f>'6. Presup. Sector 5'!E31</f>
        <v>5.3</v>
      </c>
      <c r="F31" s="633" t="s">
        <v>75</v>
      </c>
      <c r="G31" s="628" t="s">
        <v>7</v>
      </c>
      <c r="H31" s="629"/>
      <c r="I31" s="630"/>
      <c r="J31" s="631"/>
      <c r="K31" s="630"/>
      <c r="L31" s="630"/>
      <c r="M31" s="630"/>
      <c r="N31" s="759">
        <f>+N13</f>
        <v>0</v>
      </c>
      <c r="O31" s="623">
        <f>'FORMATO PROPUESTA ECONÓMICA'!E29</f>
        <v>0</v>
      </c>
      <c r="P31" s="629">
        <f>IF(ISERROR(+N31*O31),"",+N31*O31)</f>
        <v>0</v>
      </c>
      <c r="Q31" s="755"/>
      <c r="R31" s="616"/>
      <c r="S31" s="1120"/>
    </row>
    <row r="32" spans="2:19" ht="45" hidden="1" x14ac:dyDescent="0.25">
      <c r="B32" s="750"/>
      <c r="C32" s="840" t="e">
        <f>'FORMATO PROPUESTA ECONÓMICA'!#REF!</f>
        <v>#REF!</v>
      </c>
      <c r="D32" s="756"/>
      <c r="E32" s="620">
        <f>'6. Presup. Sector 5'!E32</f>
        <v>5.4</v>
      </c>
      <c r="F32" s="633" t="s">
        <v>76</v>
      </c>
      <c r="G32" s="628" t="s">
        <v>7</v>
      </c>
      <c r="H32" s="629"/>
      <c r="I32" s="630"/>
      <c r="J32" s="631"/>
      <c r="K32" s="630"/>
      <c r="L32" s="630"/>
      <c r="M32" s="630"/>
      <c r="N32" s="759">
        <f>+N14</f>
        <v>0</v>
      </c>
      <c r="O32" s="623">
        <f>'FORMATO PROPUESTA ECONÓMICA'!E30</f>
        <v>0</v>
      </c>
      <c r="P32" s="629">
        <f>IF(ISERROR(+N32*O32),"",+N32*O32)</f>
        <v>0</v>
      </c>
      <c r="Q32" s="755"/>
      <c r="R32" s="616"/>
      <c r="S32" s="1120"/>
    </row>
    <row r="33" spans="2:19" x14ac:dyDescent="0.25">
      <c r="B33" s="750"/>
      <c r="C33" s="840" t="e">
        <f>'FORMATO PROPUESTA ECONÓMICA'!#REF!</f>
        <v>#REF!</v>
      </c>
      <c r="D33" s="756"/>
      <c r="E33" s="620">
        <f>'6. Presup. Sector 5'!E33</f>
        <v>5.5</v>
      </c>
      <c r="F33" s="633" t="s">
        <v>77</v>
      </c>
      <c r="G33" s="628" t="s">
        <v>16</v>
      </c>
      <c r="H33" s="629"/>
      <c r="I33" s="630"/>
      <c r="J33" s="631"/>
      <c r="K33" s="630"/>
      <c r="L33" s="630"/>
      <c r="M33" s="630"/>
      <c r="N33" s="759">
        <f>166*1</f>
        <v>166</v>
      </c>
      <c r="O33" s="623">
        <f>'FORMATO PROPUESTA ECONÓMICA'!E31</f>
        <v>0</v>
      </c>
      <c r="P33" s="629">
        <f>IF(ISERROR(+N33*O33),"",+N33*O33)</f>
        <v>0</v>
      </c>
      <c r="Q33" s="755"/>
      <c r="R33" s="616"/>
      <c r="S33" s="1120"/>
    </row>
    <row r="34" spans="2:19" x14ac:dyDescent="0.25">
      <c r="B34" s="750" t="str">
        <f>+'[3]1. Colector Principal'!C30</f>
        <v>Construcción de Cámara de inspección de concreto de 21 MPa vaciadas en el sitio</v>
      </c>
      <c r="C34" s="890" t="e">
        <f>'FORMATO PROPUESTA ECONÓMICA'!#REF!</f>
        <v>#REF!</v>
      </c>
      <c r="D34" s="758"/>
      <c r="E34" s="732">
        <f>'6. Presup. Sector 5'!E34</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760"/>
      <c r="O34" s="803"/>
      <c r="P34" s="39"/>
      <c r="Q34" s="755"/>
      <c r="R34" s="616"/>
      <c r="S34" s="1120"/>
    </row>
    <row r="35" spans="2:19" ht="30" hidden="1" x14ac:dyDescent="0.25">
      <c r="B35" s="750" t="str">
        <f>+'[3]1. Colector Principal'!C31</f>
        <v>Cilindro de la cámara 1.2m, concéntrica vaciada en situ</v>
      </c>
      <c r="C35" s="840" t="e">
        <f>'FORMATO PROPUESTA ECONÓMICA'!#REF!</f>
        <v>#REF!</v>
      </c>
      <c r="D35" s="756"/>
      <c r="E35" s="620">
        <f>'6. Presup. Sector 5'!E35</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762"/>
      <c r="O35" s="623">
        <f>'FORMATO PROPUESTA ECONÓMICA'!E33</f>
        <v>0</v>
      </c>
      <c r="P35" s="629">
        <f t="shared" ref="P35:P63" si="2">IF(ISERROR(+N35*O35),"",+N35*O35)</f>
        <v>0</v>
      </c>
      <c r="Q35" s="755"/>
      <c r="R35" s="616"/>
      <c r="S35" s="1120"/>
    </row>
    <row r="36" spans="2:19" ht="30" x14ac:dyDescent="0.25">
      <c r="B36" s="750" t="str">
        <f>+'[3]1. Colector Principal'!C32</f>
        <v>Cilindro de la cámara 1.5m, concéntrica vaciada en situ</v>
      </c>
      <c r="C36" s="840" t="e">
        <f>'FORMATO PROPUESTA ECONÓMICA'!#REF!</f>
        <v>#REF!</v>
      </c>
      <c r="D36" s="756"/>
      <c r="E36" s="634">
        <f>'6. Presup. Sector 5'!E36</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759">
        <v>4700</v>
      </c>
      <c r="O36" s="623">
        <f>'FORMATO PROPUESTA ECONÓMICA'!E34</f>
        <v>0</v>
      </c>
      <c r="P36" s="629">
        <f t="shared" si="2"/>
        <v>0</v>
      </c>
      <c r="Q36" s="755"/>
      <c r="R36" s="616"/>
      <c r="S36" s="1120"/>
    </row>
    <row r="37" spans="2:19" ht="30" x14ac:dyDescent="0.25">
      <c r="B37" s="750"/>
      <c r="C37" s="840" t="e">
        <f>'FORMATO PROPUESTA ECONÓMICA'!#REF!</f>
        <v>#REF!</v>
      </c>
      <c r="D37" s="756"/>
      <c r="E37" s="634">
        <f>'6. Presup. Sector 5'!E37</f>
        <v>6.3</v>
      </c>
      <c r="F37" s="633" t="s">
        <v>376</v>
      </c>
      <c r="G37" s="628" t="s">
        <v>59</v>
      </c>
      <c r="H37" s="629"/>
      <c r="I37" s="630"/>
      <c r="J37" s="631"/>
      <c r="K37" s="630"/>
      <c r="L37" s="630"/>
      <c r="M37" s="630"/>
      <c r="N37" s="759">
        <v>455</v>
      </c>
      <c r="O37" s="623">
        <f>'FORMATO PROPUESTA ECONÓMICA'!E35</f>
        <v>0</v>
      </c>
      <c r="P37" s="629">
        <f t="shared" si="2"/>
        <v>0</v>
      </c>
      <c r="Q37" s="755"/>
      <c r="R37" s="616"/>
      <c r="S37" s="1120"/>
    </row>
    <row r="38" spans="2:19" ht="30" hidden="1" x14ac:dyDescent="0.25">
      <c r="B38" s="750"/>
      <c r="C38" s="840" t="e">
        <f>'FORMATO PROPUESTA ECONÓMICA'!#REF!</f>
        <v>#REF!</v>
      </c>
      <c r="D38" s="756"/>
      <c r="E38" s="634">
        <f>'6. Presup. Sector 5'!E38</f>
        <v>6.4</v>
      </c>
      <c r="F38" s="633" t="s">
        <v>377</v>
      </c>
      <c r="G38" s="628" t="s">
        <v>59</v>
      </c>
      <c r="H38" s="629"/>
      <c r="I38" s="630"/>
      <c r="J38" s="631"/>
      <c r="K38" s="630"/>
      <c r="L38" s="630"/>
      <c r="M38" s="630"/>
      <c r="N38" s="759"/>
      <c r="O38" s="623">
        <f>'FORMATO PROPUESTA ECONÓMICA'!E36</f>
        <v>0</v>
      </c>
      <c r="P38" s="629">
        <f t="shared" si="2"/>
        <v>0</v>
      </c>
      <c r="Q38" s="755"/>
      <c r="R38" s="616"/>
      <c r="S38" s="1120"/>
    </row>
    <row r="39" spans="2:19" ht="30" hidden="1" x14ac:dyDescent="0.25">
      <c r="B39" s="750" t="str">
        <f>+'[3]1. Colector Principal'!C33</f>
        <v xml:space="preserve"> Base y Cañuela pozo de inspección para tuberías entre 8" a 24" (concreto f´c= 28MPa elab. en obra)</v>
      </c>
      <c r="C39" s="840" t="e">
        <f>'FORMATO PROPUESTA ECONÓMICA'!#REF!</f>
        <v>#REF!</v>
      </c>
      <c r="D39" s="756"/>
      <c r="E39" s="634">
        <f>'6. Presup. Sector 5'!E39</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759"/>
      <c r="O39" s="623">
        <f>'FORMATO PROPUESTA ECONÓMICA'!E37</f>
        <v>0</v>
      </c>
      <c r="P39" s="629">
        <f t="shared" si="2"/>
        <v>0</v>
      </c>
      <c r="Q39" s="755"/>
      <c r="R39" s="616"/>
      <c r="S39" s="1120"/>
    </row>
    <row r="40" spans="2:19" hidden="1" x14ac:dyDescent="0.25">
      <c r="B40" s="750"/>
      <c r="C40" s="840" t="e">
        <f>'FORMATO PROPUESTA ECONÓMICA'!#REF!</f>
        <v>#REF!</v>
      </c>
      <c r="D40" s="756"/>
      <c r="E40" s="634">
        <f>'6. Presup. Sector 5'!E40</f>
        <v>6.6</v>
      </c>
      <c r="F40" s="633" t="s">
        <v>382</v>
      </c>
      <c r="G40" s="628" t="s">
        <v>79</v>
      </c>
      <c r="H40" s="629"/>
      <c r="I40" s="630"/>
      <c r="J40" s="631"/>
      <c r="K40" s="630"/>
      <c r="L40" s="630"/>
      <c r="M40" s="630"/>
      <c r="N40" s="759"/>
      <c r="O40" s="623">
        <f>'FORMATO PROPUESTA ECONÓMICA'!E38</f>
        <v>0</v>
      </c>
      <c r="P40" s="629">
        <f t="shared" si="2"/>
        <v>0</v>
      </c>
      <c r="Q40" s="755"/>
      <c r="R40" s="616"/>
      <c r="S40" s="1120"/>
    </row>
    <row r="41" spans="2:19" ht="24.75" customHeight="1" x14ac:dyDescent="0.25">
      <c r="B41" s="750"/>
      <c r="C41" s="840" t="e">
        <f>'FORMATO PROPUESTA ECONÓMICA'!#REF!</f>
        <v>#REF!</v>
      </c>
      <c r="D41" s="756"/>
      <c r="E41" s="634">
        <f>'6. Presup. Sector 5'!E41</f>
        <v>6.7</v>
      </c>
      <c r="F41" s="633" t="s">
        <v>381</v>
      </c>
      <c r="G41" s="628" t="s">
        <v>79</v>
      </c>
      <c r="H41" s="629"/>
      <c r="I41" s="630"/>
      <c r="J41" s="631"/>
      <c r="K41" s="630"/>
      <c r="L41" s="630"/>
      <c r="M41" s="630"/>
      <c r="N41" s="759">
        <v>32</v>
      </c>
      <c r="O41" s="623">
        <f>'FORMATO PROPUESTA ECONÓMICA'!E39</f>
        <v>0</v>
      </c>
      <c r="P41" s="629">
        <f t="shared" si="2"/>
        <v>0</v>
      </c>
      <c r="Q41" s="755"/>
      <c r="R41" s="616"/>
      <c r="S41" s="1120"/>
    </row>
    <row r="42" spans="2:19" hidden="1" x14ac:dyDescent="0.25">
      <c r="B42" s="750"/>
      <c r="C42" s="840" t="e">
        <f>'FORMATO PROPUESTA ECONÓMICA'!#REF!</f>
        <v>#REF!</v>
      </c>
      <c r="D42" s="756"/>
      <c r="E42" s="620">
        <f>'6. Presup. Sector 5'!E42</f>
        <v>6.8</v>
      </c>
      <c r="F42" s="633" t="s">
        <v>383</v>
      </c>
      <c r="G42" s="628" t="s">
        <v>79</v>
      </c>
      <c r="H42" s="629"/>
      <c r="I42" s="630"/>
      <c r="J42" s="631"/>
      <c r="K42" s="630"/>
      <c r="L42" s="630"/>
      <c r="M42" s="630"/>
      <c r="N42" s="759"/>
      <c r="O42" s="623">
        <f>'FORMATO PROPUESTA ECONÓMICA'!E40</f>
        <v>0</v>
      </c>
      <c r="P42" s="629">
        <f t="shared" si="2"/>
        <v>0</v>
      </c>
      <c r="Q42" s="755"/>
      <c r="R42" s="616"/>
      <c r="S42" s="1120"/>
    </row>
    <row r="43" spans="2:19" hidden="1" x14ac:dyDescent="0.25">
      <c r="B43" s="750"/>
      <c r="C43" s="840" t="e">
        <f>'FORMATO PROPUESTA ECONÓMICA'!#REF!</f>
        <v>#REF!</v>
      </c>
      <c r="D43" s="756"/>
      <c r="E43" s="620">
        <f>'6. Presup. Sector 5'!E43</f>
        <v>6.9</v>
      </c>
      <c r="F43" s="633" t="s">
        <v>384</v>
      </c>
      <c r="G43" s="628" t="s">
        <v>79</v>
      </c>
      <c r="H43" s="629"/>
      <c r="I43" s="630"/>
      <c r="J43" s="631"/>
      <c r="K43" s="630"/>
      <c r="L43" s="630"/>
      <c r="M43" s="630"/>
      <c r="N43" s="759"/>
      <c r="O43" s="623">
        <f>'FORMATO PROPUESTA ECONÓMICA'!E41</f>
        <v>0</v>
      </c>
      <c r="P43" s="629">
        <f t="shared" si="2"/>
        <v>0</v>
      </c>
      <c r="Q43" s="755"/>
      <c r="R43" s="616"/>
      <c r="S43" s="1120"/>
    </row>
    <row r="44" spans="2:19" hidden="1" x14ac:dyDescent="0.25">
      <c r="B44" s="750"/>
      <c r="C44" s="840" t="e">
        <f>'FORMATO PROPUESTA ECONÓMICA'!#REF!</f>
        <v>#REF!</v>
      </c>
      <c r="D44" s="756"/>
      <c r="E44" s="620">
        <f>'6. Presup. Sector 5'!E44</f>
        <v>6.1</v>
      </c>
      <c r="F44" s="633" t="s">
        <v>385</v>
      </c>
      <c r="G44" s="628" t="s">
        <v>79</v>
      </c>
      <c r="H44" s="629"/>
      <c r="I44" s="630"/>
      <c r="J44" s="631"/>
      <c r="K44" s="630"/>
      <c r="L44" s="630"/>
      <c r="M44" s="630"/>
      <c r="N44" s="759"/>
      <c r="O44" s="623">
        <f>'FORMATO PROPUESTA ECONÓMICA'!E42</f>
        <v>0</v>
      </c>
      <c r="P44" s="629">
        <f t="shared" si="2"/>
        <v>0</v>
      </c>
      <c r="Q44" s="755"/>
      <c r="R44" s="616"/>
      <c r="S44" s="1120"/>
    </row>
    <row r="45" spans="2:19" hidden="1" x14ac:dyDescent="0.25">
      <c r="B45" s="750"/>
      <c r="C45" s="840" t="e">
        <f>'FORMATO PROPUESTA ECONÓMICA'!#REF!</f>
        <v>#REF!</v>
      </c>
      <c r="D45" s="756"/>
      <c r="E45" s="620">
        <f>'6. Presup. Sector 5'!E45</f>
        <v>6.11</v>
      </c>
      <c r="F45" s="633" t="s">
        <v>386</v>
      </c>
      <c r="G45" s="628" t="s">
        <v>79</v>
      </c>
      <c r="H45" s="629"/>
      <c r="I45" s="630"/>
      <c r="J45" s="631"/>
      <c r="K45" s="630"/>
      <c r="L45" s="630"/>
      <c r="M45" s="630"/>
      <c r="N45" s="759"/>
      <c r="O45" s="623">
        <f>'FORMATO PROPUESTA ECONÓMICA'!E43</f>
        <v>0</v>
      </c>
      <c r="P45" s="629">
        <f t="shared" si="2"/>
        <v>0</v>
      </c>
      <c r="Q45" s="755"/>
      <c r="R45" s="616"/>
      <c r="S45" s="1120"/>
    </row>
    <row r="46" spans="2:19" hidden="1" x14ac:dyDescent="0.25">
      <c r="B46" s="750"/>
      <c r="C46" s="840"/>
      <c r="D46" s="756"/>
      <c r="E46" s="620">
        <f>'6. Presup. Sector 5'!E46</f>
        <v>6.12</v>
      </c>
      <c r="F46" s="633" t="s">
        <v>445</v>
      </c>
      <c r="G46" s="628" t="s">
        <v>79</v>
      </c>
      <c r="H46" s="629"/>
      <c r="I46" s="630"/>
      <c r="J46" s="631"/>
      <c r="K46" s="630"/>
      <c r="L46" s="630"/>
      <c r="M46" s="630"/>
      <c r="N46" s="766"/>
      <c r="O46" s="623">
        <f>'FORMATO PROPUESTA ECONÓMICA'!E44</f>
        <v>0</v>
      </c>
      <c r="P46" s="629">
        <f t="shared" si="2"/>
        <v>0</v>
      </c>
      <c r="Q46" s="755"/>
      <c r="R46" s="616"/>
      <c r="S46" s="1120"/>
    </row>
    <row r="47" spans="2:19" hidden="1" x14ac:dyDescent="0.25">
      <c r="B47" s="750"/>
      <c r="C47" s="840" t="e">
        <f>'FORMATO PROPUESTA ECONÓMICA'!#REF!</f>
        <v>#REF!</v>
      </c>
      <c r="D47" s="756"/>
      <c r="E47" s="620">
        <f>'6. Presup. Sector 5'!E47</f>
        <v>6.13</v>
      </c>
      <c r="F47" s="633" t="s">
        <v>387</v>
      </c>
      <c r="G47" s="628" t="s">
        <v>79</v>
      </c>
      <c r="H47" s="629"/>
      <c r="I47" s="630"/>
      <c r="J47" s="631"/>
      <c r="K47" s="630"/>
      <c r="L47" s="630"/>
      <c r="M47" s="630"/>
      <c r="N47" s="759"/>
      <c r="O47" s="623">
        <f>'FORMATO PROPUESTA ECONÓMICA'!E45</f>
        <v>0</v>
      </c>
      <c r="P47" s="629">
        <f t="shared" si="2"/>
        <v>0</v>
      </c>
      <c r="Q47" s="755"/>
      <c r="R47" s="616"/>
      <c r="S47" s="1120"/>
    </row>
    <row r="48" spans="2:19" hidden="1" x14ac:dyDescent="0.25">
      <c r="B48" s="750"/>
      <c r="C48" s="840" t="e">
        <f>'FORMATO PROPUESTA ECONÓMICA'!#REF!</f>
        <v>#REF!</v>
      </c>
      <c r="D48" s="756"/>
      <c r="E48" s="620">
        <f>'6. Presup. Sector 5'!E48</f>
        <v>6.14</v>
      </c>
      <c r="F48" s="633" t="s">
        <v>388</v>
      </c>
      <c r="G48" s="628" t="s">
        <v>79</v>
      </c>
      <c r="H48" s="629"/>
      <c r="I48" s="630"/>
      <c r="J48" s="631"/>
      <c r="K48" s="630"/>
      <c r="L48" s="630"/>
      <c r="M48" s="630"/>
      <c r="N48" s="759"/>
      <c r="O48" s="623">
        <f>'FORMATO PROPUESTA ECONÓMICA'!E46</f>
        <v>0</v>
      </c>
      <c r="P48" s="629">
        <f t="shared" si="2"/>
        <v>0</v>
      </c>
      <c r="Q48" s="755"/>
      <c r="R48" s="616"/>
      <c r="S48" s="1120"/>
    </row>
    <row r="49" spans="2:19" x14ac:dyDescent="0.25">
      <c r="B49" s="750"/>
      <c r="C49" s="840" t="e">
        <f>'FORMATO PROPUESTA ECONÓMICA'!#REF!</f>
        <v>#REF!</v>
      </c>
      <c r="D49" s="756"/>
      <c r="E49" s="620">
        <f>'6. Presup. Sector 5'!E49</f>
        <v>6.15</v>
      </c>
      <c r="F49" s="633" t="s">
        <v>389</v>
      </c>
      <c r="G49" s="628" t="s">
        <v>79</v>
      </c>
      <c r="H49" s="629"/>
      <c r="I49" s="630"/>
      <c r="J49" s="631"/>
      <c r="K49" s="630"/>
      <c r="L49" s="630"/>
      <c r="M49" s="630"/>
      <c r="N49" s="759">
        <v>8</v>
      </c>
      <c r="O49" s="623">
        <f>'FORMATO PROPUESTA ECONÓMICA'!E47</f>
        <v>0</v>
      </c>
      <c r="P49" s="629">
        <f t="shared" si="2"/>
        <v>0</v>
      </c>
      <c r="Q49" s="755"/>
      <c r="R49" s="616"/>
      <c r="S49" s="1120"/>
    </row>
    <row r="50" spans="2:19" x14ac:dyDescent="0.25">
      <c r="B50" s="750"/>
      <c r="C50" s="840" t="e">
        <f>'FORMATO PROPUESTA ECONÓMICA'!#REF!</f>
        <v>#REF!</v>
      </c>
      <c r="D50" s="756"/>
      <c r="E50" s="620">
        <f>'6. Presup. Sector 5'!E50</f>
        <v>6.16</v>
      </c>
      <c r="F50" s="633" t="s">
        <v>390</v>
      </c>
      <c r="G50" s="628" t="s">
        <v>79</v>
      </c>
      <c r="H50" s="629"/>
      <c r="I50" s="630"/>
      <c r="J50" s="631"/>
      <c r="K50" s="630"/>
      <c r="L50" s="630"/>
      <c r="M50" s="630"/>
      <c r="N50" s="754">
        <v>4</v>
      </c>
      <c r="O50" s="623">
        <f>'FORMATO PROPUESTA ECONÓMICA'!E48</f>
        <v>0</v>
      </c>
      <c r="P50" s="629">
        <f t="shared" si="2"/>
        <v>0</v>
      </c>
      <c r="Q50" s="755"/>
      <c r="R50" s="616"/>
      <c r="S50" s="1120"/>
    </row>
    <row r="51" spans="2:19" hidden="1" x14ac:dyDescent="0.25">
      <c r="B51" s="750"/>
      <c r="C51" s="840" t="e">
        <f>'FORMATO PROPUESTA ECONÓMICA'!#REF!</f>
        <v>#REF!</v>
      </c>
      <c r="D51" s="756"/>
      <c r="E51" s="620">
        <f>'6. Presup. Sector 5'!E51</f>
        <v>6.17</v>
      </c>
      <c r="F51" s="633" t="s">
        <v>391</v>
      </c>
      <c r="G51" s="628" t="s">
        <v>79</v>
      </c>
      <c r="H51" s="629"/>
      <c r="I51" s="630"/>
      <c r="J51" s="631"/>
      <c r="K51" s="630"/>
      <c r="L51" s="630"/>
      <c r="M51" s="630"/>
      <c r="N51" s="754"/>
      <c r="O51" s="623">
        <f>'FORMATO PROPUESTA ECONÓMICA'!E49</f>
        <v>0</v>
      </c>
      <c r="P51" s="629">
        <f t="shared" si="2"/>
        <v>0</v>
      </c>
      <c r="Q51" s="755"/>
      <c r="R51" s="616"/>
      <c r="S51" s="1120"/>
    </row>
    <row r="52" spans="2:19" hidden="1" x14ac:dyDescent="0.25">
      <c r="B52" s="750"/>
      <c r="C52" s="840" t="e">
        <f>'FORMATO PROPUESTA ECONÓMICA'!#REF!</f>
        <v>#REF!</v>
      </c>
      <c r="D52" s="756"/>
      <c r="E52" s="620">
        <f>'6. Presup. Sector 5'!E52</f>
        <v>6.18</v>
      </c>
      <c r="F52" s="633" t="s">
        <v>392</v>
      </c>
      <c r="G52" s="628" t="s">
        <v>79</v>
      </c>
      <c r="H52" s="629"/>
      <c r="I52" s="630"/>
      <c r="J52" s="631"/>
      <c r="K52" s="630"/>
      <c r="L52" s="630"/>
      <c r="M52" s="630"/>
      <c r="N52" s="754"/>
      <c r="O52" s="623">
        <f>'FORMATO PROPUESTA ECONÓMICA'!E50</f>
        <v>0</v>
      </c>
      <c r="P52" s="629">
        <f t="shared" si="2"/>
        <v>0</v>
      </c>
      <c r="Q52" s="755"/>
      <c r="R52" s="616"/>
      <c r="S52" s="1120"/>
    </row>
    <row r="53" spans="2:19" hidden="1" x14ac:dyDescent="0.25">
      <c r="B53" s="750"/>
      <c r="C53" s="840" t="e">
        <f>'FORMATO PROPUESTA ECONÓMICA'!#REF!</f>
        <v>#REF!</v>
      </c>
      <c r="D53" s="756"/>
      <c r="E53" s="620">
        <f>'6. Presup. Sector 5'!E53</f>
        <v>6.19</v>
      </c>
      <c r="F53" s="633" t="s">
        <v>393</v>
      </c>
      <c r="G53" s="628" t="s">
        <v>79</v>
      </c>
      <c r="H53" s="629"/>
      <c r="I53" s="630"/>
      <c r="J53" s="631"/>
      <c r="K53" s="630"/>
      <c r="L53" s="630"/>
      <c r="M53" s="630"/>
      <c r="N53" s="754"/>
      <c r="O53" s="623">
        <f>'FORMATO PROPUESTA ECONÓMICA'!E51</f>
        <v>0</v>
      </c>
      <c r="P53" s="629">
        <f t="shared" si="2"/>
        <v>0</v>
      </c>
      <c r="Q53" s="755"/>
      <c r="R53" s="616"/>
      <c r="S53" s="1120"/>
    </row>
    <row r="54" spans="2:19" hidden="1" x14ac:dyDescent="0.25">
      <c r="B54" s="750"/>
      <c r="C54" s="840" t="e">
        <f>'FORMATO PROPUESTA ECONÓMICA'!#REF!</f>
        <v>#REF!</v>
      </c>
      <c r="D54" s="756"/>
      <c r="E54" s="620">
        <f>'6. Presup. Sector 5'!E54</f>
        <v>6.2</v>
      </c>
      <c r="F54" s="633" t="s">
        <v>394</v>
      </c>
      <c r="G54" s="628" t="s">
        <v>79</v>
      </c>
      <c r="H54" s="629"/>
      <c r="I54" s="630"/>
      <c r="J54" s="631"/>
      <c r="K54" s="630"/>
      <c r="L54" s="630"/>
      <c r="M54" s="630"/>
      <c r="N54" s="754"/>
      <c r="O54" s="623">
        <f>'FORMATO PROPUESTA ECONÓMICA'!E52</f>
        <v>0</v>
      </c>
      <c r="P54" s="629">
        <f t="shared" si="2"/>
        <v>0</v>
      </c>
      <c r="Q54" s="755"/>
      <c r="R54" s="616"/>
      <c r="S54" s="1120"/>
    </row>
    <row r="55" spans="2:19" hidden="1" x14ac:dyDescent="0.25">
      <c r="B55" s="750"/>
      <c r="C55" s="840" t="e">
        <f>'FORMATO PROPUESTA ECONÓMICA'!#REF!</f>
        <v>#REF!</v>
      </c>
      <c r="D55" s="756"/>
      <c r="E55" s="620">
        <f>'6. Presup. Sector 5'!E55</f>
        <v>6.21</v>
      </c>
      <c r="F55" s="633" t="s">
        <v>395</v>
      </c>
      <c r="G55" s="628" t="s">
        <v>79</v>
      </c>
      <c r="H55" s="629"/>
      <c r="I55" s="630"/>
      <c r="J55" s="631"/>
      <c r="K55" s="630"/>
      <c r="L55" s="630"/>
      <c r="M55" s="630"/>
      <c r="N55" s="754"/>
      <c r="O55" s="623">
        <f>'FORMATO PROPUESTA ECONÓMICA'!E53</f>
        <v>0</v>
      </c>
      <c r="P55" s="629">
        <f t="shared" si="2"/>
        <v>0</v>
      </c>
      <c r="Q55" s="755"/>
      <c r="R55" s="616"/>
      <c r="S55" s="1120"/>
    </row>
    <row r="56" spans="2:19" hidden="1" x14ac:dyDescent="0.25">
      <c r="B56" s="750"/>
      <c r="C56" s="840" t="e">
        <f>'FORMATO PROPUESTA ECONÓMICA'!#REF!</f>
        <v>#REF!</v>
      </c>
      <c r="D56" s="756"/>
      <c r="E56" s="620">
        <f>'6. Presup. Sector 5'!E56</f>
        <v>6.22</v>
      </c>
      <c r="F56" s="633" t="s">
        <v>396</v>
      </c>
      <c r="G56" s="628" t="s">
        <v>79</v>
      </c>
      <c r="H56" s="629"/>
      <c r="I56" s="630"/>
      <c r="J56" s="631"/>
      <c r="K56" s="630"/>
      <c r="L56" s="630"/>
      <c r="M56" s="630"/>
      <c r="N56" s="754"/>
      <c r="O56" s="623">
        <f>'FORMATO PROPUESTA ECONÓMICA'!E54</f>
        <v>0</v>
      </c>
      <c r="P56" s="629">
        <f t="shared" si="2"/>
        <v>0</v>
      </c>
      <c r="Q56" s="755"/>
      <c r="R56" s="616"/>
      <c r="S56" s="1120"/>
    </row>
    <row r="57" spans="2:19" hidden="1" x14ac:dyDescent="0.25">
      <c r="B57" s="750"/>
      <c r="C57" s="840" t="e">
        <f>'FORMATO PROPUESTA ECONÓMICA'!#REF!</f>
        <v>#REF!</v>
      </c>
      <c r="D57" s="756"/>
      <c r="E57" s="620">
        <f>'6. Presup. Sector 5'!E57</f>
        <v>6.23</v>
      </c>
      <c r="F57" s="633" t="s">
        <v>397</v>
      </c>
      <c r="G57" s="628" t="s">
        <v>79</v>
      </c>
      <c r="H57" s="629"/>
      <c r="I57" s="630"/>
      <c r="J57" s="631"/>
      <c r="K57" s="630"/>
      <c r="L57" s="630"/>
      <c r="M57" s="630"/>
      <c r="N57" s="754"/>
      <c r="O57" s="623">
        <f>'FORMATO PROPUESTA ECONÓMICA'!E55</f>
        <v>0</v>
      </c>
      <c r="P57" s="629">
        <f t="shared" si="2"/>
        <v>0</v>
      </c>
      <c r="Q57" s="755"/>
      <c r="R57" s="616"/>
      <c r="S57" s="1120"/>
    </row>
    <row r="58" spans="2:19" x14ac:dyDescent="0.25">
      <c r="B58" s="750"/>
      <c r="C58" s="840" t="e">
        <f>'FORMATO PROPUESTA ECONÓMICA'!#REF!</f>
        <v>#REF!</v>
      </c>
      <c r="D58" s="756"/>
      <c r="E58" s="620">
        <f>'6. Presup. Sector 5'!E58</f>
        <v>6.24</v>
      </c>
      <c r="F58" s="633" t="s">
        <v>398</v>
      </c>
      <c r="G58" s="628" t="s">
        <v>79</v>
      </c>
      <c r="H58" s="629"/>
      <c r="I58" s="630"/>
      <c r="J58" s="631"/>
      <c r="K58" s="630"/>
      <c r="L58" s="630"/>
      <c r="M58" s="630"/>
      <c r="N58" s="754">
        <f>N87</f>
        <v>20</v>
      </c>
      <c r="O58" s="623">
        <f>'FORMATO PROPUESTA ECONÓMICA'!E56</f>
        <v>0</v>
      </c>
      <c r="P58" s="629">
        <f t="shared" si="2"/>
        <v>0</v>
      </c>
      <c r="Q58" s="755"/>
      <c r="R58" s="616"/>
      <c r="S58" s="1120"/>
    </row>
    <row r="59" spans="2:19" hidden="1" x14ac:dyDescent="0.25">
      <c r="B59" s="750"/>
      <c r="C59" s="840" t="e">
        <f>'FORMATO PROPUESTA ECONÓMICA'!#REF!</f>
        <v>#REF!</v>
      </c>
      <c r="D59" s="756"/>
      <c r="E59" s="620">
        <f>'6. Presup. Sector 5'!E59</f>
        <v>6.25</v>
      </c>
      <c r="F59" s="633" t="s">
        <v>399</v>
      </c>
      <c r="G59" s="628" t="s">
        <v>79</v>
      </c>
      <c r="H59" s="629"/>
      <c r="I59" s="630"/>
      <c r="J59" s="631"/>
      <c r="K59" s="630"/>
      <c r="L59" s="630"/>
      <c r="M59" s="630"/>
      <c r="N59" s="754"/>
      <c r="O59" s="623">
        <f>'FORMATO PROPUESTA ECONÓMICA'!E57</f>
        <v>0</v>
      </c>
      <c r="P59" s="629">
        <f t="shared" si="2"/>
        <v>0</v>
      </c>
      <c r="Q59" s="755"/>
      <c r="R59" s="616"/>
      <c r="S59" s="1120"/>
    </row>
    <row r="60" spans="2:19" hidden="1" x14ac:dyDescent="0.25">
      <c r="B60" s="750"/>
      <c r="C60" s="840" t="e">
        <f>'FORMATO PROPUESTA ECONÓMICA'!#REF!</f>
        <v>#REF!</v>
      </c>
      <c r="D60" s="756"/>
      <c r="E60" s="620">
        <f>'6. Presup. Sector 5'!E60</f>
        <v>6.26</v>
      </c>
      <c r="F60" s="633" t="s">
        <v>400</v>
      </c>
      <c r="G60" s="628" t="s">
        <v>79</v>
      </c>
      <c r="H60" s="629"/>
      <c r="I60" s="630"/>
      <c r="J60" s="631"/>
      <c r="K60" s="630"/>
      <c r="L60" s="630"/>
      <c r="M60" s="630"/>
      <c r="N60" s="754"/>
      <c r="O60" s="623">
        <f>'FORMATO PROPUESTA ECONÓMICA'!E58</f>
        <v>0</v>
      </c>
      <c r="P60" s="629">
        <f t="shared" si="2"/>
        <v>0</v>
      </c>
      <c r="Q60" s="755"/>
      <c r="R60" s="616"/>
      <c r="S60" s="1120"/>
    </row>
    <row r="61" spans="2:19" hidden="1" x14ac:dyDescent="0.25">
      <c r="B61" s="750"/>
      <c r="C61" s="840" t="e">
        <f>'FORMATO PROPUESTA ECONÓMICA'!#REF!</f>
        <v>#REF!</v>
      </c>
      <c r="D61" s="756"/>
      <c r="E61" s="620">
        <f>'6. Presup. Sector 5'!E61</f>
        <v>6.27</v>
      </c>
      <c r="F61" s="633" t="s">
        <v>401</v>
      </c>
      <c r="G61" s="628" t="s">
        <v>79</v>
      </c>
      <c r="H61" s="629"/>
      <c r="I61" s="630"/>
      <c r="J61" s="631"/>
      <c r="K61" s="630"/>
      <c r="L61" s="630"/>
      <c r="M61" s="630"/>
      <c r="N61" s="754"/>
      <c r="O61" s="623">
        <f>'FORMATO PROPUESTA ECONÓMICA'!E59</f>
        <v>0</v>
      </c>
      <c r="P61" s="629">
        <f t="shared" si="2"/>
        <v>0</v>
      </c>
      <c r="Q61" s="755"/>
      <c r="R61" s="616"/>
      <c r="S61" s="1120"/>
    </row>
    <row r="62" spans="2:19" ht="30" x14ac:dyDescent="0.25">
      <c r="B62" s="750"/>
      <c r="C62" s="840" t="e">
        <f>'FORMATO PROPUESTA ECONÓMICA'!#REF!</f>
        <v>#REF!</v>
      </c>
      <c r="D62" s="756"/>
      <c r="E62" s="620">
        <f>'6. Presup. Sector 5'!E62</f>
        <v>6.28</v>
      </c>
      <c r="F62" s="633" t="s">
        <v>80</v>
      </c>
      <c r="G62" s="628" t="s">
        <v>79</v>
      </c>
      <c r="H62" s="629"/>
      <c r="I62" s="630"/>
      <c r="J62" s="631"/>
      <c r="K62" s="630"/>
      <c r="L62" s="630"/>
      <c r="M62" s="630"/>
      <c r="N62" s="754">
        <v>2</v>
      </c>
      <c r="O62" s="623">
        <f>'FORMATO PROPUESTA ECONÓMICA'!E60</f>
        <v>0</v>
      </c>
      <c r="P62" s="629">
        <f t="shared" si="2"/>
        <v>0</v>
      </c>
      <c r="Q62" s="755"/>
      <c r="R62" s="616"/>
      <c r="S62" s="1120"/>
    </row>
    <row r="63" spans="2:19" ht="30" hidden="1" x14ac:dyDescent="0.25">
      <c r="B63" s="750"/>
      <c r="C63" s="840" t="e">
        <f>'FORMATO PROPUESTA ECONÓMICA'!#REF!</f>
        <v>#REF!</v>
      </c>
      <c r="D63" s="756"/>
      <c r="E63" s="620">
        <f>'6. Presup. Sector 5'!E63</f>
        <v>6.29</v>
      </c>
      <c r="F63" s="633" t="s">
        <v>81</v>
      </c>
      <c r="G63" s="628" t="s">
        <v>79</v>
      </c>
      <c r="H63" s="629"/>
      <c r="I63" s="630"/>
      <c r="J63" s="631"/>
      <c r="K63" s="630"/>
      <c r="L63" s="630"/>
      <c r="M63" s="630"/>
      <c r="N63" s="754"/>
      <c r="O63" s="623">
        <f>'FORMATO PROPUESTA ECONÓMICA'!E61</f>
        <v>0</v>
      </c>
      <c r="P63" s="629">
        <f t="shared" si="2"/>
        <v>0</v>
      </c>
      <c r="Q63" s="755"/>
      <c r="R63" s="616"/>
      <c r="S63" s="1120"/>
    </row>
    <row r="64" spans="2:19" ht="30" x14ac:dyDescent="0.25">
      <c r="B64" s="750" t="str">
        <f>+'[3]1. Colector Principal'!C40</f>
        <v>Suministro, transporte y colocación de entresuelo para cimentaciones y apoyo de tubería:</v>
      </c>
      <c r="C64" s="890" t="e">
        <f>'FORMATO PROPUESTA ECONÓMICA'!#REF!</f>
        <v>#REF!</v>
      </c>
      <c r="D64" s="758"/>
      <c r="E64" s="732">
        <f>'6. Presup. Sector 5'!E64</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760"/>
      <c r="O64" s="803"/>
      <c r="P64" s="39"/>
      <c r="Q64" s="755"/>
      <c r="R64" s="616"/>
      <c r="S64" s="1120"/>
    </row>
    <row r="65" spans="2:19" x14ac:dyDescent="0.25">
      <c r="B65" s="750" t="str">
        <f>+'[3]1. Colector Principal'!C41</f>
        <v>S.T.I Lleno con triturado 3/4" (19mm) y 1" (25mm)</v>
      </c>
      <c r="C65" s="840" t="e">
        <f>'FORMATO PROPUESTA ECONÓMICA'!#REF!</f>
        <v>#REF!</v>
      </c>
      <c r="D65" s="756"/>
      <c r="E65" s="634">
        <f>'6. Presup. Sector 5'!E65</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892">
        <f>(N69+N66)*6</f>
        <v>1920</v>
      </c>
      <c r="O65" s="623">
        <f>'FORMATO PROPUESTA ECONÓMICA'!E63</f>
        <v>0</v>
      </c>
      <c r="P65" s="629">
        <f t="shared" ref="P65:P79" si="3">IF(ISERROR(+N65*O65),"",+N65*O65)</f>
        <v>0</v>
      </c>
      <c r="Q65" s="755"/>
      <c r="R65" s="616"/>
      <c r="S65" s="1120"/>
    </row>
    <row r="66" spans="2:19" hidden="1" x14ac:dyDescent="0.25">
      <c r="B66" s="750" t="str">
        <f>+'[3]1. Colector Principal'!C42</f>
        <v>S.T.I Lleno con arenilla 3/4" (19mm) y 1" (25mm)</v>
      </c>
      <c r="C66" s="840" t="e">
        <f>'FORMATO PROPUESTA ECONÓMICA'!#REF!</f>
        <v>#REF!</v>
      </c>
      <c r="D66" s="756"/>
      <c r="E66" s="634">
        <f>'6. Presup. Sector 5'!E66</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892"/>
      <c r="O66" s="623">
        <f>'FORMATO PROPUESTA ECONÓMICA'!E64</f>
        <v>0</v>
      </c>
      <c r="P66" s="629">
        <f t="shared" si="3"/>
        <v>0</v>
      </c>
      <c r="Q66" s="755"/>
      <c r="R66" s="616"/>
      <c r="S66" s="1120"/>
    </row>
    <row r="67" spans="2:19" hidden="1" x14ac:dyDescent="0.25">
      <c r="B67" s="750"/>
      <c r="C67" s="840" t="e">
        <f>'FORMATO PROPUESTA ECONÓMICA'!#REF!</f>
        <v>#REF!</v>
      </c>
      <c r="D67" s="756"/>
      <c r="E67" s="634">
        <f>'6. Presup. Sector 5'!E67</f>
        <v>7.3</v>
      </c>
      <c r="F67" s="633" t="s">
        <v>424</v>
      </c>
      <c r="G67" s="628" t="s">
        <v>79</v>
      </c>
      <c r="H67" s="629"/>
      <c r="I67" s="630"/>
      <c r="J67" s="631"/>
      <c r="K67" s="630"/>
      <c r="L67" s="630"/>
      <c r="M67" s="630"/>
      <c r="N67" s="892"/>
      <c r="O67" s="623">
        <f>'FORMATO PROPUESTA ECONÓMICA'!E65</f>
        <v>0</v>
      </c>
      <c r="P67" s="629">
        <f t="shared" si="3"/>
        <v>0</v>
      </c>
      <c r="Q67" s="755"/>
      <c r="R67" s="616"/>
      <c r="S67" s="1120"/>
    </row>
    <row r="68" spans="2:19" hidden="1" x14ac:dyDescent="0.25">
      <c r="B68" s="750"/>
      <c r="C68" s="840" t="e">
        <f>'FORMATO PROPUESTA ECONÓMICA'!#REF!</f>
        <v>#REF!</v>
      </c>
      <c r="D68" s="756"/>
      <c r="E68" s="634">
        <f>'6. Presup. Sector 5'!E68</f>
        <v>7.4</v>
      </c>
      <c r="F68" s="633" t="s">
        <v>426</v>
      </c>
      <c r="G68" s="628" t="s">
        <v>79</v>
      </c>
      <c r="H68" s="629"/>
      <c r="I68" s="630"/>
      <c r="J68" s="631"/>
      <c r="K68" s="630"/>
      <c r="L68" s="630"/>
      <c r="M68" s="630"/>
      <c r="N68" s="892"/>
      <c r="O68" s="623">
        <f>'FORMATO PROPUESTA ECONÓMICA'!E66</f>
        <v>0</v>
      </c>
      <c r="P68" s="629">
        <f t="shared" si="3"/>
        <v>0</v>
      </c>
      <c r="Q68" s="755"/>
      <c r="R68" s="616"/>
      <c r="S68" s="1120"/>
    </row>
    <row r="69" spans="2:19" x14ac:dyDescent="0.25">
      <c r="B69" s="750"/>
      <c r="C69" s="840" t="e">
        <f>'FORMATO PROPUESTA ECONÓMICA'!#REF!</f>
        <v>#REF!</v>
      </c>
      <c r="D69" s="756"/>
      <c r="E69" s="634">
        <f>'6. Presup. Sector 5'!E69</f>
        <v>7.5</v>
      </c>
      <c r="F69" s="633" t="s">
        <v>425</v>
      </c>
      <c r="G69" s="628" t="s">
        <v>79</v>
      </c>
      <c r="H69" s="629"/>
      <c r="I69" s="630"/>
      <c r="J69" s="631"/>
      <c r="K69" s="630"/>
      <c r="L69" s="630"/>
      <c r="M69" s="630"/>
      <c r="N69" s="892">
        <v>320</v>
      </c>
      <c r="O69" s="623">
        <f>'FORMATO PROPUESTA ECONÓMICA'!E67</f>
        <v>0</v>
      </c>
      <c r="P69" s="629">
        <f t="shared" si="3"/>
        <v>0</v>
      </c>
      <c r="Q69" s="755"/>
      <c r="R69" s="616"/>
      <c r="S69" s="1120"/>
    </row>
    <row r="70" spans="2:19" hidden="1" x14ac:dyDescent="0.25">
      <c r="B70" s="750"/>
      <c r="C70" s="840" t="e">
        <f>'FORMATO PROPUESTA ECONÓMICA'!#REF!</f>
        <v>#REF!</v>
      </c>
      <c r="D70" s="756"/>
      <c r="E70" s="634">
        <f>'6. Presup. Sector 5'!E70</f>
        <v>7.6</v>
      </c>
      <c r="F70" s="633" t="s">
        <v>427</v>
      </c>
      <c r="G70" s="628" t="s">
        <v>79</v>
      </c>
      <c r="H70" s="629"/>
      <c r="I70" s="630"/>
      <c r="J70" s="631"/>
      <c r="K70" s="630"/>
      <c r="L70" s="630"/>
      <c r="M70" s="630"/>
      <c r="N70" s="892"/>
      <c r="O70" s="623">
        <f>'FORMATO PROPUESTA ECONÓMICA'!E68</f>
        <v>0</v>
      </c>
      <c r="P70" s="629">
        <f t="shared" si="3"/>
        <v>0</v>
      </c>
      <c r="Q70" s="755"/>
      <c r="R70" s="616"/>
      <c r="S70" s="1120"/>
    </row>
    <row r="71" spans="2:19" x14ac:dyDescent="0.25">
      <c r="B71" s="750"/>
      <c r="C71" s="840" t="e">
        <f>'FORMATO PROPUESTA ECONÓMICA'!#REF!</f>
        <v>#REF!</v>
      </c>
      <c r="D71" s="756"/>
      <c r="E71" s="634">
        <f>'6. Presup. Sector 5'!E71</f>
        <v>7.7</v>
      </c>
      <c r="F71" s="633" t="s">
        <v>429</v>
      </c>
      <c r="G71" s="628" t="s">
        <v>79</v>
      </c>
      <c r="H71" s="629"/>
      <c r="I71" s="630"/>
      <c r="J71" s="631"/>
      <c r="K71" s="630"/>
      <c r="L71" s="630"/>
      <c r="M71" s="630"/>
      <c r="N71" s="757">
        <v>60</v>
      </c>
      <c r="O71" s="623">
        <f>'FORMATO PROPUESTA ECONÓMICA'!E69</f>
        <v>0</v>
      </c>
      <c r="P71" s="629">
        <f t="shared" si="3"/>
        <v>0</v>
      </c>
      <c r="Q71" s="755"/>
      <c r="R71" s="616"/>
      <c r="S71" s="1120"/>
    </row>
    <row r="72" spans="2:19" x14ac:dyDescent="0.25">
      <c r="B72" s="750"/>
      <c r="C72" s="840" t="e">
        <f>'FORMATO PROPUESTA ECONÓMICA'!#REF!</f>
        <v>#REF!</v>
      </c>
      <c r="D72" s="756"/>
      <c r="E72" s="634">
        <f>'6. Presup. Sector 5'!E72</f>
        <v>7.8</v>
      </c>
      <c r="F72" s="633" t="s">
        <v>342</v>
      </c>
      <c r="G72" s="628" t="s">
        <v>79</v>
      </c>
      <c r="H72" s="629"/>
      <c r="I72" s="630"/>
      <c r="J72" s="631"/>
      <c r="K72" s="630"/>
      <c r="L72" s="630"/>
      <c r="M72" s="630"/>
      <c r="N72" s="892">
        <f>N69</f>
        <v>320</v>
      </c>
      <c r="O72" s="623">
        <f>'FORMATO PROPUESTA ECONÓMICA'!E70</f>
        <v>0</v>
      </c>
      <c r="P72" s="629">
        <f t="shared" si="3"/>
        <v>0</v>
      </c>
      <c r="Q72" s="755"/>
      <c r="R72" s="616"/>
      <c r="S72" s="1120"/>
    </row>
    <row r="73" spans="2:19" hidden="1" x14ac:dyDescent="0.25">
      <c r="B73" s="750" t="str">
        <f>+'[3]1. Colector Principal'!C43</f>
        <v>Corte, rotura y retiro de pavimento:</v>
      </c>
      <c r="C73" s="840" t="e">
        <f>'FORMATO PROPUESTA ECONÓMICA'!#REF!</f>
        <v>#REF!</v>
      </c>
      <c r="D73" s="756"/>
      <c r="E73" s="620">
        <f>'6. Presup. Sector 5'!E73</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892"/>
      <c r="O73" s="623">
        <f>'FORMATO PROPUESTA ECONÓMICA'!E71</f>
        <v>0</v>
      </c>
      <c r="P73" s="629">
        <f t="shared" si="3"/>
        <v>0</v>
      </c>
      <c r="Q73" s="755"/>
      <c r="R73" s="616"/>
      <c r="S73" s="1120"/>
    </row>
    <row r="74" spans="2:19" x14ac:dyDescent="0.25">
      <c r="B74" s="750" t="str">
        <f>+'[3]1. Colector Principal'!C44</f>
        <v>Corte, rotura y retiro de pavimento rigido</v>
      </c>
      <c r="C74" s="840" t="e">
        <f>'FORMATO PROPUESTA ECONÓMICA'!#REF!</f>
        <v>#REF!</v>
      </c>
      <c r="D74" s="756"/>
      <c r="E74" s="620">
        <f>'6. Presup. Sector 5'!E74</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892">
        <v>50</v>
      </c>
      <c r="O74" s="623">
        <f>'FORMATO PROPUESTA ECONÓMICA'!E72</f>
        <v>0</v>
      </c>
      <c r="P74" s="629">
        <f t="shared" si="3"/>
        <v>0</v>
      </c>
      <c r="Q74" s="755"/>
      <c r="R74" s="616"/>
      <c r="S74" s="1120"/>
    </row>
    <row r="75" spans="2:19" x14ac:dyDescent="0.25">
      <c r="B75" s="750" t="str">
        <f>+'[3]1. Colector Principal'!C45</f>
        <v xml:space="preserve">Corte, rotura y retiro de pavimento flexible </v>
      </c>
      <c r="C75" s="840" t="e">
        <f>'FORMATO PROPUESTA ECONÓMICA'!#REF!</f>
        <v>#REF!</v>
      </c>
      <c r="D75" s="756"/>
      <c r="E75" s="620">
        <f>'6. Presup. Sector 5'!E75</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892">
        <f>N76</f>
        <v>228</v>
      </c>
      <c r="O75" s="623">
        <f>'FORMATO PROPUESTA ECONÓMICA'!E73</f>
        <v>0</v>
      </c>
      <c r="P75" s="629">
        <f t="shared" si="3"/>
        <v>0</v>
      </c>
      <c r="Q75" s="755"/>
      <c r="R75" s="616"/>
      <c r="S75" s="1120"/>
    </row>
    <row r="76" spans="2:19" ht="75" x14ac:dyDescent="0.25">
      <c r="C76" s="840" t="e">
        <f>'FORMATO PROPUESTA ECONÓMICA'!#REF!</f>
        <v>#REF!</v>
      </c>
      <c r="D76" s="756"/>
      <c r="E76" s="620">
        <f>'6. Presup. Sector 5'!E76</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892">
        <f>(N69+N70+N71)*0.6</f>
        <v>228</v>
      </c>
      <c r="O76" s="623">
        <f>'FORMATO PROPUESTA ECONÓMICA'!E74</f>
        <v>0</v>
      </c>
      <c r="P76" s="623">
        <f t="shared" si="3"/>
        <v>0</v>
      </c>
      <c r="Q76" s="755"/>
      <c r="R76" s="616"/>
      <c r="S76" s="1120"/>
    </row>
    <row r="77" spans="2:19" x14ac:dyDescent="0.25">
      <c r="B77" s="750" t="str">
        <f>+'[3]1. Colector Principal'!C47</f>
        <v>Pavimento rigido</v>
      </c>
      <c r="C77" s="840" t="e">
        <f>'FORMATO PROPUESTA ECONÓMICA'!#REF!</f>
        <v>#REF!</v>
      </c>
      <c r="D77" s="756"/>
      <c r="E77" s="620">
        <f>'6. Presup. Sector 5'!E77</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761">
        <f>N76</f>
        <v>228</v>
      </c>
      <c r="O77" s="623">
        <f>'FORMATO PROPUESTA ECONÓMICA'!E75</f>
        <v>0</v>
      </c>
      <c r="P77" s="629">
        <f t="shared" si="3"/>
        <v>0</v>
      </c>
      <c r="Q77" s="755"/>
      <c r="R77" s="616"/>
      <c r="S77" s="1120"/>
    </row>
    <row r="78" spans="2:19" x14ac:dyDescent="0.25">
      <c r="B78" s="750" t="str">
        <f>+'[3]1. Colector Principal'!C48</f>
        <v xml:space="preserve">Pavimento flexible </v>
      </c>
      <c r="C78" s="840" t="e">
        <f>'FORMATO PROPUESTA ECONÓMICA'!#REF!</f>
        <v>#REF!</v>
      </c>
      <c r="D78" s="756"/>
      <c r="E78" s="620">
        <f>'6. Presup. Sector 5'!E78</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761">
        <f>N69</f>
        <v>320</v>
      </c>
      <c r="O78" s="623">
        <f>'FORMATO PROPUESTA ECONÓMICA'!E76</f>
        <v>0</v>
      </c>
      <c r="P78" s="629">
        <f t="shared" si="3"/>
        <v>0</v>
      </c>
      <c r="Q78" s="755"/>
      <c r="R78" s="616"/>
      <c r="S78" s="1120"/>
    </row>
    <row r="79" spans="2:19" x14ac:dyDescent="0.25">
      <c r="B79" s="750" t="str">
        <f>+'[3]5.Domiciliarias Colector La Yuq'!C16</f>
        <v>Reparación de andén en concreto</v>
      </c>
      <c r="C79" s="840" t="e">
        <f>'FORMATO PROPUESTA ECONÓMICA'!#REF!</f>
        <v>#REF!</v>
      </c>
      <c r="D79" s="756"/>
      <c r="E79" s="620">
        <f>'6. Presup. Sector 5'!E79</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761">
        <f>+N77</f>
        <v>228</v>
      </c>
      <c r="O79" s="623">
        <f>'FORMATO PROPUESTA ECONÓMICA'!E77</f>
        <v>0</v>
      </c>
      <c r="P79" s="629">
        <f t="shared" si="3"/>
        <v>0</v>
      </c>
      <c r="Q79" s="755"/>
      <c r="R79" s="616"/>
      <c r="S79" s="1120"/>
    </row>
    <row r="80" spans="2:19" x14ac:dyDescent="0.25">
      <c r="B80" s="750"/>
      <c r="C80" s="890"/>
      <c r="D80" s="758"/>
      <c r="E80" s="732">
        <f>'6. Presup. Sector 5'!E80</f>
        <v>8</v>
      </c>
      <c r="F80" s="770" t="s">
        <v>349</v>
      </c>
      <c r="G80" s="44"/>
      <c r="H80" s="39"/>
      <c r="I80" s="40"/>
      <c r="J80" s="41"/>
      <c r="K80" s="40"/>
      <c r="L80" s="40"/>
      <c r="M80" s="40"/>
      <c r="N80" s="893"/>
      <c r="O80" s="803"/>
      <c r="P80" s="39"/>
      <c r="Q80" s="755"/>
      <c r="R80" s="616"/>
      <c r="S80" s="1120"/>
    </row>
    <row r="81" spans="2:19" x14ac:dyDescent="0.25">
      <c r="B81" s="750"/>
      <c r="C81" s="840" t="e">
        <f>'FORMATO PROPUESTA ECONÓMICA'!#REF!</f>
        <v>#REF!</v>
      </c>
      <c r="D81" s="756"/>
      <c r="E81" s="634">
        <f>'6. Presup. Sector 5'!E81</f>
        <v>8.1</v>
      </c>
      <c r="F81" s="633" t="s">
        <v>83</v>
      </c>
      <c r="G81" s="628" t="s">
        <v>79</v>
      </c>
      <c r="H81" s="629"/>
      <c r="I81" s="630"/>
      <c r="J81" s="631"/>
      <c r="K81" s="630"/>
      <c r="L81" s="630"/>
      <c r="M81" s="630"/>
      <c r="N81" s="754">
        <v>6</v>
      </c>
      <c r="O81" s="623">
        <f>'FORMATO PROPUESTA ECONÓMICA'!E79</f>
        <v>0</v>
      </c>
      <c r="P81" s="629">
        <f t="shared" ref="P81:P101" si="6">IF(ISERROR(+N81*O81),"",+N81*O81)</f>
        <v>0</v>
      </c>
      <c r="Q81" s="755"/>
      <c r="R81" s="616"/>
      <c r="S81" s="1120"/>
    </row>
    <row r="82" spans="2:19" hidden="1" x14ac:dyDescent="0.25">
      <c r="B82" s="750"/>
      <c r="C82" s="840" t="e">
        <f>'FORMATO PROPUESTA ECONÓMICA'!#REF!</f>
        <v>#REF!</v>
      </c>
      <c r="D82" s="756"/>
      <c r="E82" s="634">
        <f>'6. Presup. Sector 5'!E82</f>
        <v>8.1999999999999993</v>
      </c>
      <c r="F82" s="633" t="s">
        <v>84</v>
      </c>
      <c r="G82" s="628" t="s">
        <v>79</v>
      </c>
      <c r="H82" s="629"/>
      <c r="I82" s="630"/>
      <c r="J82" s="631"/>
      <c r="K82" s="630"/>
      <c r="L82" s="630"/>
      <c r="M82" s="630"/>
      <c r="N82" s="754"/>
      <c r="O82" s="623">
        <f>'FORMATO PROPUESTA ECONÓMICA'!E80</f>
        <v>0</v>
      </c>
      <c r="P82" s="629">
        <f t="shared" si="6"/>
        <v>0</v>
      </c>
      <c r="Q82" s="755"/>
      <c r="R82" s="616"/>
      <c r="S82" s="1120"/>
    </row>
    <row r="83" spans="2:19" hidden="1" x14ac:dyDescent="0.25">
      <c r="B83" s="750"/>
      <c r="C83" s="840" t="e">
        <f>'FORMATO PROPUESTA ECONÓMICA'!#REF!</f>
        <v>#REF!</v>
      </c>
      <c r="D83" s="756"/>
      <c r="E83" s="634">
        <f>'6. Presup. Sector 5'!E83</f>
        <v>8.3000000000000007</v>
      </c>
      <c r="F83" s="633" t="s">
        <v>85</v>
      </c>
      <c r="G83" s="628" t="s">
        <v>79</v>
      </c>
      <c r="H83" s="629"/>
      <c r="I83" s="630"/>
      <c r="J83" s="631"/>
      <c r="K83" s="630"/>
      <c r="L83" s="630"/>
      <c r="M83" s="630"/>
      <c r="N83" s="754"/>
      <c r="O83" s="623">
        <f>'FORMATO PROPUESTA ECONÓMICA'!E81</f>
        <v>0</v>
      </c>
      <c r="P83" s="629">
        <f t="shared" si="6"/>
        <v>0</v>
      </c>
      <c r="Q83" s="755"/>
      <c r="R83" s="616"/>
      <c r="S83" s="1120"/>
    </row>
    <row r="84" spans="2:19" hidden="1" x14ac:dyDescent="0.25">
      <c r="B84" s="750"/>
      <c r="C84" s="840" t="e">
        <f>'FORMATO PROPUESTA ECONÓMICA'!#REF!</f>
        <v>#REF!</v>
      </c>
      <c r="D84" s="756"/>
      <c r="E84" s="634">
        <f>'6. Presup. Sector 5'!E84</f>
        <v>8.4</v>
      </c>
      <c r="F84" s="633" t="s">
        <v>86</v>
      </c>
      <c r="G84" s="628" t="s">
        <v>79</v>
      </c>
      <c r="H84" s="629"/>
      <c r="I84" s="630"/>
      <c r="J84" s="631"/>
      <c r="K84" s="630"/>
      <c r="L84" s="630"/>
      <c r="M84" s="630"/>
      <c r="N84" s="754"/>
      <c r="O84" s="623">
        <f>'FORMATO PROPUESTA ECONÓMICA'!E82</f>
        <v>0</v>
      </c>
      <c r="P84" s="629">
        <f t="shared" si="6"/>
        <v>0</v>
      </c>
      <c r="Q84" s="755"/>
      <c r="R84" s="616"/>
      <c r="S84" s="1120"/>
    </row>
    <row r="85" spans="2:19" ht="30" x14ac:dyDescent="0.25">
      <c r="B85" s="750"/>
      <c r="C85" s="840" t="e">
        <f>'FORMATO PROPUESTA ECONÓMICA'!#REF!</f>
        <v>#REF!</v>
      </c>
      <c r="D85" s="756"/>
      <c r="E85" s="634">
        <f>'6. Presup. Sector 5'!E85</f>
        <v>8.5</v>
      </c>
      <c r="F85" s="633" t="s">
        <v>519</v>
      </c>
      <c r="G85" s="628" t="s">
        <v>79</v>
      </c>
      <c r="H85" s="629"/>
      <c r="I85" s="630"/>
      <c r="J85" s="631"/>
      <c r="K85" s="630"/>
      <c r="L85" s="630"/>
      <c r="M85" s="630"/>
      <c r="N85" s="754">
        <f>N76</f>
        <v>228</v>
      </c>
      <c r="O85" s="623">
        <f>'FORMATO PROPUESTA ECONÓMICA'!E83</f>
        <v>0</v>
      </c>
      <c r="P85" s="629">
        <f t="shared" si="6"/>
        <v>0</v>
      </c>
      <c r="Q85" s="755"/>
      <c r="R85" s="616"/>
      <c r="S85" s="1120"/>
    </row>
    <row r="86" spans="2:19" hidden="1" x14ac:dyDescent="0.25">
      <c r="B86" s="750"/>
      <c r="C86" s="840" t="e">
        <f>'FORMATO PROPUESTA ECONÓMICA'!#REF!</f>
        <v>#REF!</v>
      </c>
      <c r="D86" s="756"/>
      <c r="E86" s="620">
        <f>'6. Presup. Sector 5'!E86</f>
        <v>8.6</v>
      </c>
      <c r="F86" s="633" t="s">
        <v>87</v>
      </c>
      <c r="G86" s="628" t="s">
        <v>79</v>
      </c>
      <c r="H86" s="629"/>
      <c r="I86" s="630"/>
      <c r="J86" s="631"/>
      <c r="K86" s="630"/>
      <c r="L86" s="630"/>
      <c r="M86" s="630"/>
      <c r="N86" s="754"/>
      <c r="O86" s="623">
        <f>'FORMATO PROPUESTA ECONÓMICA'!E84</f>
        <v>0</v>
      </c>
      <c r="P86" s="629">
        <f t="shared" si="6"/>
        <v>0</v>
      </c>
      <c r="Q86" s="755"/>
      <c r="R86" s="616"/>
      <c r="S86" s="1120"/>
    </row>
    <row r="87" spans="2:19" x14ac:dyDescent="0.25">
      <c r="B87" s="750"/>
      <c r="C87" s="840" t="e">
        <f>'FORMATO PROPUESTA ECONÓMICA'!#REF!</f>
        <v>#REF!</v>
      </c>
      <c r="D87" s="756"/>
      <c r="E87" s="634">
        <f>'6. Presup. Sector 5'!E87</f>
        <v>8.6999999999999993</v>
      </c>
      <c r="F87" s="633" t="s">
        <v>88</v>
      </c>
      <c r="G87" s="628" t="s">
        <v>79</v>
      </c>
      <c r="H87" s="629"/>
      <c r="I87" s="630"/>
      <c r="J87" s="631"/>
      <c r="K87" s="630"/>
      <c r="L87" s="630"/>
      <c r="M87" s="630"/>
      <c r="N87" s="757">
        <f>2*N92</f>
        <v>20</v>
      </c>
      <c r="O87" s="623">
        <f>'FORMATO PROPUESTA ECONÓMICA'!E85</f>
        <v>0</v>
      </c>
      <c r="P87" s="629">
        <f t="shared" si="6"/>
        <v>0</v>
      </c>
      <c r="Q87" s="755"/>
      <c r="R87" s="616"/>
      <c r="S87" s="1120"/>
    </row>
    <row r="88" spans="2:19" hidden="1" x14ac:dyDescent="0.25">
      <c r="B88" s="750"/>
      <c r="C88" s="840" t="e">
        <f>'FORMATO PROPUESTA ECONÓMICA'!#REF!</f>
        <v>#REF!</v>
      </c>
      <c r="D88" s="756"/>
      <c r="E88" s="620">
        <f>'6. Presup. Sector 5'!E88</f>
        <v>8.8000000000000007</v>
      </c>
      <c r="F88" s="633" t="s">
        <v>89</v>
      </c>
      <c r="G88" s="628" t="s">
        <v>79</v>
      </c>
      <c r="H88" s="629"/>
      <c r="I88" s="630"/>
      <c r="J88" s="631"/>
      <c r="K88" s="630"/>
      <c r="L88" s="630"/>
      <c r="M88" s="630"/>
      <c r="N88" s="754"/>
      <c r="O88" s="623">
        <f>'FORMATO PROPUESTA ECONÓMICA'!E86</f>
        <v>0</v>
      </c>
      <c r="P88" s="629">
        <f t="shared" si="6"/>
        <v>0</v>
      </c>
      <c r="Q88" s="755"/>
      <c r="R88" s="616"/>
      <c r="S88" s="1120"/>
    </row>
    <row r="89" spans="2:19" hidden="1" x14ac:dyDescent="0.25">
      <c r="B89" s="750"/>
      <c r="C89" s="840" t="e">
        <f>'FORMATO PROPUESTA ECONÓMICA'!#REF!</f>
        <v>#REF!</v>
      </c>
      <c r="D89" s="756"/>
      <c r="E89" s="620">
        <f>'6. Presup. Sector 5'!E89</f>
        <v>8.9</v>
      </c>
      <c r="F89" s="633" t="s">
        <v>90</v>
      </c>
      <c r="G89" s="628" t="s">
        <v>79</v>
      </c>
      <c r="H89" s="629"/>
      <c r="I89" s="630"/>
      <c r="J89" s="631"/>
      <c r="K89" s="630"/>
      <c r="L89" s="630"/>
      <c r="M89" s="630"/>
      <c r="N89" s="754"/>
      <c r="O89" s="623">
        <f>'FORMATO PROPUESTA ECONÓMICA'!E87</f>
        <v>0</v>
      </c>
      <c r="P89" s="629">
        <f t="shared" si="6"/>
        <v>0</v>
      </c>
      <c r="Q89" s="755"/>
      <c r="R89" s="616"/>
      <c r="S89" s="1120"/>
    </row>
    <row r="90" spans="2:19" hidden="1" x14ac:dyDescent="0.25">
      <c r="B90" s="750"/>
      <c r="C90" s="840" t="e">
        <f>'FORMATO PROPUESTA ECONÓMICA'!#REF!</f>
        <v>#REF!</v>
      </c>
      <c r="D90" s="756"/>
      <c r="E90" s="620">
        <f>'6. Presup. Sector 5'!E90</f>
        <v>8.1</v>
      </c>
      <c r="F90" s="633" t="s">
        <v>91</v>
      </c>
      <c r="G90" s="628" t="s">
        <v>79</v>
      </c>
      <c r="H90" s="629"/>
      <c r="I90" s="630"/>
      <c r="J90" s="631"/>
      <c r="K90" s="630"/>
      <c r="L90" s="630"/>
      <c r="M90" s="630"/>
      <c r="N90" s="754"/>
      <c r="O90" s="623">
        <f>'FORMATO PROPUESTA ECONÓMICA'!E88</f>
        <v>0</v>
      </c>
      <c r="P90" s="629">
        <f t="shared" si="6"/>
        <v>0</v>
      </c>
      <c r="Q90" s="755"/>
      <c r="R90" s="616"/>
      <c r="S90" s="1120"/>
    </row>
    <row r="91" spans="2:19" ht="30" hidden="1" x14ac:dyDescent="0.25">
      <c r="B91" s="750"/>
      <c r="C91" s="840" t="e">
        <f>'FORMATO PROPUESTA ECONÓMICA'!#REF!</f>
        <v>#REF!</v>
      </c>
      <c r="D91" s="756"/>
      <c r="E91" s="620">
        <f>'6. Presup. Sector 5'!E91</f>
        <v>8.11</v>
      </c>
      <c r="F91" s="633" t="s">
        <v>92</v>
      </c>
      <c r="G91" s="628" t="s">
        <v>79</v>
      </c>
      <c r="H91" s="629"/>
      <c r="I91" s="630"/>
      <c r="J91" s="631"/>
      <c r="K91" s="630"/>
      <c r="L91" s="630"/>
      <c r="M91" s="630"/>
      <c r="N91" s="754"/>
      <c r="O91" s="623">
        <f>'FORMATO PROPUESTA ECONÓMICA'!E89</f>
        <v>0</v>
      </c>
      <c r="P91" s="629">
        <f t="shared" si="6"/>
        <v>0</v>
      </c>
      <c r="Q91" s="755"/>
      <c r="R91" s="616"/>
      <c r="S91" s="1120"/>
    </row>
    <row r="92" spans="2:19" ht="19.5" customHeight="1" x14ac:dyDescent="0.25">
      <c r="B92" s="750"/>
      <c r="C92" s="840" t="e">
        <f>'FORMATO PROPUESTA ECONÓMICA'!#REF!</f>
        <v>#REF!</v>
      </c>
      <c r="D92" s="756"/>
      <c r="E92" s="620">
        <f>'6. Presup. Sector 5'!E92</f>
        <v>8.1199999999999992</v>
      </c>
      <c r="F92" s="633" t="s">
        <v>93</v>
      </c>
      <c r="G92" s="628" t="s">
        <v>79</v>
      </c>
      <c r="H92" s="629"/>
      <c r="I92" s="630"/>
      <c r="J92" s="631"/>
      <c r="K92" s="630"/>
      <c r="L92" s="630"/>
      <c r="M92" s="630"/>
      <c r="N92" s="754">
        <v>10</v>
      </c>
      <c r="O92" s="623">
        <f>'FORMATO PROPUESTA ECONÓMICA'!E90</f>
        <v>0</v>
      </c>
      <c r="P92" s="629">
        <f t="shared" si="6"/>
        <v>0</v>
      </c>
      <c r="Q92" s="755"/>
      <c r="R92" s="616"/>
      <c r="S92" s="1120"/>
    </row>
    <row r="93" spans="2:19" ht="30" hidden="1" x14ac:dyDescent="0.25">
      <c r="B93" s="750"/>
      <c r="C93" s="840" t="e">
        <f>'FORMATO PROPUESTA ECONÓMICA'!#REF!</f>
        <v>#REF!</v>
      </c>
      <c r="D93" s="756"/>
      <c r="E93" s="620">
        <f>'6. Presup. Sector 5'!E93</f>
        <v>8.1300000000000008</v>
      </c>
      <c r="F93" s="633" t="s">
        <v>94</v>
      </c>
      <c r="G93" s="628" t="s">
        <v>79</v>
      </c>
      <c r="H93" s="629"/>
      <c r="I93" s="630"/>
      <c r="J93" s="631"/>
      <c r="K93" s="630"/>
      <c r="L93" s="630"/>
      <c r="M93" s="630"/>
      <c r="N93" s="754"/>
      <c r="O93" s="623">
        <f>'FORMATO PROPUESTA ECONÓMICA'!E91</f>
        <v>0</v>
      </c>
      <c r="P93" s="629">
        <f t="shared" si="6"/>
        <v>0</v>
      </c>
      <c r="Q93" s="755"/>
      <c r="R93" s="616"/>
      <c r="S93" s="1120"/>
    </row>
    <row r="94" spans="2:19" ht="30" hidden="1" x14ac:dyDescent="0.25">
      <c r="B94" s="750"/>
      <c r="C94" s="840" t="e">
        <f>'FORMATO PROPUESTA ECONÓMICA'!#REF!</f>
        <v>#REF!</v>
      </c>
      <c r="D94" s="756"/>
      <c r="E94" s="620">
        <f>'6. Presup. Sector 5'!E94</f>
        <v>8.14</v>
      </c>
      <c r="F94" s="633" t="s">
        <v>95</v>
      </c>
      <c r="G94" s="628" t="s">
        <v>79</v>
      </c>
      <c r="H94" s="629"/>
      <c r="I94" s="630"/>
      <c r="J94" s="631"/>
      <c r="K94" s="630"/>
      <c r="L94" s="630"/>
      <c r="M94" s="630"/>
      <c r="N94" s="754"/>
      <c r="O94" s="623">
        <f>'FORMATO PROPUESTA ECONÓMICA'!E92</f>
        <v>0</v>
      </c>
      <c r="P94" s="629">
        <f t="shared" si="6"/>
        <v>0</v>
      </c>
      <c r="Q94" s="755"/>
      <c r="R94" s="616"/>
      <c r="S94" s="1120"/>
    </row>
    <row r="95" spans="2:19" ht="30" hidden="1" x14ac:dyDescent="0.25">
      <c r="B95" s="750"/>
      <c r="C95" s="840" t="e">
        <f>'FORMATO PROPUESTA ECONÓMICA'!#REF!</f>
        <v>#REF!</v>
      </c>
      <c r="D95" s="756"/>
      <c r="E95" s="620">
        <f>'6. Presup. Sector 5'!E95</f>
        <v>8.15</v>
      </c>
      <c r="F95" s="633" t="s">
        <v>96</v>
      </c>
      <c r="G95" s="628" t="s">
        <v>79</v>
      </c>
      <c r="H95" s="629"/>
      <c r="I95" s="630"/>
      <c r="J95" s="631"/>
      <c r="K95" s="630"/>
      <c r="L95" s="630"/>
      <c r="M95" s="630"/>
      <c r="N95" s="754"/>
      <c r="O95" s="623">
        <f>'FORMATO PROPUESTA ECONÓMICA'!E93</f>
        <v>0</v>
      </c>
      <c r="P95" s="629">
        <f t="shared" si="6"/>
        <v>0</v>
      </c>
      <c r="Q95" s="755"/>
      <c r="R95" s="616"/>
      <c r="S95" s="1120"/>
    </row>
    <row r="96" spans="2:19" ht="30" x14ac:dyDescent="0.25">
      <c r="B96" s="750"/>
      <c r="C96" s="840" t="e">
        <f>'FORMATO PROPUESTA ECONÓMICA'!#REF!</f>
        <v>#REF!</v>
      </c>
      <c r="D96" s="756"/>
      <c r="E96" s="620">
        <f>'6. Presup. Sector 5'!E96</f>
        <v>8.16</v>
      </c>
      <c r="F96" s="633" t="s">
        <v>463</v>
      </c>
      <c r="G96" s="628" t="s">
        <v>79</v>
      </c>
      <c r="H96" s="629"/>
      <c r="I96" s="630"/>
      <c r="J96" s="631"/>
      <c r="K96" s="630"/>
      <c r="L96" s="630"/>
      <c r="M96" s="630"/>
      <c r="N96" s="759">
        <v>4</v>
      </c>
      <c r="O96" s="623">
        <f>'FORMATO PROPUESTA ECONÓMICA'!E94</f>
        <v>0</v>
      </c>
      <c r="P96" s="629">
        <f t="shared" si="6"/>
        <v>0</v>
      </c>
      <c r="Q96" s="755"/>
      <c r="R96" s="616"/>
      <c r="S96" s="1120"/>
    </row>
    <row r="97" spans="2:19" ht="60" x14ac:dyDescent="0.25">
      <c r="B97" s="750"/>
      <c r="C97" s="890"/>
      <c r="D97" s="758"/>
      <c r="E97" s="732">
        <f>'6. Presup. Sector 5'!E97</f>
        <v>9</v>
      </c>
      <c r="F97" s="43" t="s">
        <v>447</v>
      </c>
      <c r="G97" s="44"/>
      <c r="H97" s="39"/>
      <c r="I97" s="40"/>
      <c r="J97" s="41"/>
      <c r="K97" s="40"/>
      <c r="L97" s="40"/>
      <c r="M97" s="40"/>
      <c r="N97" s="887"/>
      <c r="O97" s="803"/>
      <c r="P97" s="39"/>
      <c r="Q97" s="755"/>
      <c r="R97" s="616"/>
      <c r="S97" s="1120"/>
    </row>
    <row r="98" spans="2:19" hidden="1" x14ac:dyDescent="0.25">
      <c r="B98" s="750"/>
      <c r="C98" s="840"/>
      <c r="D98" s="756"/>
      <c r="E98" s="620">
        <f>'6. Presup. Sector 5'!E98</f>
        <v>9.1</v>
      </c>
      <c r="F98" s="633" t="s">
        <v>450</v>
      </c>
      <c r="G98" s="628" t="s">
        <v>79</v>
      </c>
      <c r="H98" s="629"/>
      <c r="I98" s="630"/>
      <c r="J98" s="631"/>
      <c r="K98" s="630"/>
      <c r="L98" s="630"/>
      <c r="M98" s="630"/>
      <c r="N98" s="759"/>
      <c r="O98" s="803"/>
      <c r="P98" s="629">
        <f t="shared" si="6"/>
        <v>0</v>
      </c>
      <c r="Q98" s="755"/>
      <c r="R98" s="616"/>
      <c r="S98" s="1120"/>
    </row>
    <row r="99" spans="2:19" hidden="1" x14ac:dyDescent="0.25">
      <c r="B99" s="750"/>
      <c r="C99" s="840"/>
      <c r="D99" s="756"/>
      <c r="E99" s="620" t="e">
        <f>'6. Presup. Sector 5'!E99</f>
        <v>#REF!</v>
      </c>
      <c r="F99" s="633" t="s">
        <v>451</v>
      </c>
      <c r="G99" s="628" t="s">
        <v>79</v>
      </c>
      <c r="H99" s="629"/>
      <c r="I99" s="630"/>
      <c r="J99" s="631"/>
      <c r="K99" s="630"/>
      <c r="L99" s="630"/>
      <c r="M99" s="630"/>
      <c r="N99" s="759"/>
      <c r="O99" s="803"/>
      <c r="P99" s="629">
        <f t="shared" si="6"/>
        <v>0</v>
      </c>
      <c r="Q99" s="755"/>
      <c r="R99" s="616"/>
      <c r="S99" s="1120"/>
    </row>
    <row r="100" spans="2:19" x14ac:dyDescent="0.25">
      <c r="B100" s="750"/>
      <c r="C100" s="890"/>
      <c r="D100" s="758"/>
      <c r="E100" s="732">
        <f>'6. Presup. Sector 5'!E100</f>
        <v>10</v>
      </c>
      <c r="F100" s="770" t="s">
        <v>97</v>
      </c>
      <c r="G100" s="44"/>
      <c r="H100" s="39"/>
      <c r="I100" s="40"/>
      <c r="J100" s="41"/>
      <c r="K100" s="40"/>
      <c r="L100" s="40"/>
      <c r="M100" s="40"/>
      <c r="N100" s="886"/>
      <c r="O100" s="803"/>
      <c r="P100" s="39"/>
      <c r="Q100" s="755"/>
      <c r="R100" s="616"/>
      <c r="S100" s="1120"/>
    </row>
    <row r="101" spans="2:19" ht="45" hidden="1" x14ac:dyDescent="0.25">
      <c r="B101" s="750"/>
      <c r="C101" s="891"/>
      <c r="D101" s="775"/>
      <c r="E101" s="620" t="str">
        <f>'6. Presup. Sector 5'!E101</f>
        <v>10.1</v>
      </c>
      <c r="F101" s="838" t="s">
        <v>444</v>
      </c>
      <c r="G101" s="714" t="s">
        <v>79</v>
      </c>
      <c r="H101" s="716"/>
      <c r="I101" s="717"/>
      <c r="J101" s="718"/>
      <c r="K101" s="717"/>
      <c r="L101" s="717"/>
      <c r="M101" s="717"/>
      <c r="N101" s="839"/>
      <c r="O101" s="623">
        <f>'FORMATO PROPUESTA ECONÓMICA'!E126</f>
        <v>0</v>
      </c>
      <c r="P101" s="629">
        <f t="shared" si="6"/>
        <v>0</v>
      </c>
      <c r="Q101" s="755"/>
      <c r="R101" s="616"/>
      <c r="S101" s="1120"/>
    </row>
    <row r="102" spans="2:19" ht="45" x14ac:dyDescent="0.25">
      <c r="B102" s="750"/>
      <c r="C102" s="840" t="e">
        <f>'FORMATO PROPUESTA ECONÓMICA'!#REF!</f>
        <v>#REF!</v>
      </c>
      <c r="D102" s="753"/>
      <c r="E102" s="634">
        <f>'6. Presup. Sector 5'!E102</f>
        <v>10.199999999999999</v>
      </c>
      <c r="F102" s="32" t="s">
        <v>444</v>
      </c>
      <c r="G102" s="628" t="s">
        <v>79</v>
      </c>
      <c r="H102" s="629"/>
      <c r="I102" s="630"/>
      <c r="J102" s="631"/>
      <c r="K102" s="630"/>
      <c r="L102" s="630"/>
      <c r="M102" s="630"/>
      <c r="N102" s="768">
        <f>N76</f>
        <v>228</v>
      </c>
      <c r="O102" s="623">
        <f>'FORMATO PROPUESTA ECONÓMICA'!E127</f>
        <v>0</v>
      </c>
      <c r="P102" s="629">
        <f>IF(ISERROR(+N102*O102),"",+N102*O102)</f>
        <v>0</v>
      </c>
      <c r="Q102" s="755"/>
      <c r="R102" s="616"/>
      <c r="S102" s="1120"/>
    </row>
    <row r="103" spans="2:19" ht="60" x14ac:dyDescent="0.25">
      <c r="B103" s="750" t="str">
        <f>+'[3]5.Domiciliarias Colector La Yuq'!C18</f>
        <v>Reparación de pavimento</v>
      </c>
      <c r="C103" s="840" t="e">
        <f>'FORMATO PROPUESTA ECONÓMICA'!#REF!</f>
        <v>#REF!</v>
      </c>
      <c r="D103" s="753"/>
      <c r="E103" s="634" t="str">
        <f>'6. Presup. Sector 5'!E103</f>
        <v>10.3</v>
      </c>
      <c r="F103" s="633" t="s">
        <v>98</v>
      </c>
      <c r="G103" s="622" t="s">
        <v>79</v>
      </c>
      <c r="H103" s="623">
        <f>IF(ISERROR(VLOOKUP($D103,[4]Ppto!$A$3:$F$100,4,)),0,VLOOKUP($D103,[4]Ppto!$A$3:$F$100,4,))</f>
        <v>0</v>
      </c>
      <c r="I103" s="624">
        <f>IF(ISERROR(VLOOKUP($D103,[4]Ppto!$A$3:$F$100,5,)),0,VLOOKUP($D103,[4]Ppto!$A$3:$F$100,5,))</f>
        <v>0</v>
      </c>
      <c r="J103" s="625">
        <v>1</v>
      </c>
      <c r="K103" s="624">
        <f t="shared" ref="K103:K110" si="7">+I103-O103</f>
        <v>0</v>
      </c>
      <c r="L103" s="624">
        <f t="shared" si="0"/>
        <v>0</v>
      </c>
      <c r="M103" s="624">
        <f t="shared" ref="M103:M110" si="8">+L103-P103</f>
        <v>0</v>
      </c>
      <c r="N103" s="754">
        <f>N92</f>
        <v>10</v>
      </c>
      <c r="O103" s="623">
        <f>'FORMATO PROPUESTA ECONÓMICA'!E128</f>
        <v>0</v>
      </c>
      <c r="P103" s="623">
        <f>IF(ISERROR(+N103*O103),"",+N103*O103)</f>
        <v>0</v>
      </c>
      <c r="Q103" s="755"/>
      <c r="R103" s="616"/>
      <c r="S103" s="1120"/>
    </row>
    <row r="104" spans="2:19" x14ac:dyDescent="0.25">
      <c r="B104" s="777" t="str">
        <f>+'[3]5.Domiciliarias Colector La Yuq'!C19</f>
        <v>Construcción de pavimento</v>
      </c>
      <c r="C104" s="840" t="e">
        <f>'FORMATO PROPUESTA ECONÓMICA'!#REF!</f>
        <v>#REF!</v>
      </c>
      <c r="D104" s="753"/>
      <c r="E104" s="634" t="str">
        <f>'6. Presup. Sector 5'!E104</f>
        <v>10.4</v>
      </c>
      <c r="F104" s="633" t="s">
        <v>99</v>
      </c>
      <c r="G104" s="628" t="s">
        <v>59</v>
      </c>
      <c r="H104" s="629">
        <f>IF(ISERROR(VLOOKUP($D104,[4]Ppto!$A$3:$F$100,4,)),0,VLOOKUP($D104,[4]Ppto!$A$3:$F$100,4,))</f>
        <v>0</v>
      </c>
      <c r="I104" s="630">
        <f>IF(ISERROR(VLOOKUP($D104,[4]Ppto!$A$3:$F$100,5,)),0,VLOOKUP($D104,[4]Ppto!$A$3:$F$100,5,))</f>
        <v>0</v>
      </c>
      <c r="J104" s="631">
        <v>1</v>
      </c>
      <c r="K104" s="630">
        <f t="shared" si="7"/>
        <v>0</v>
      </c>
      <c r="L104" s="630">
        <f t="shared" si="0"/>
        <v>0</v>
      </c>
      <c r="M104" s="630">
        <f t="shared" si="8"/>
        <v>0</v>
      </c>
      <c r="N104" s="766">
        <f>+N36+N37</f>
        <v>5155</v>
      </c>
      <c r="O104" s="623">
        <f>'FORMATO PROPUESTA ECONÓMICA'!E129</f>
        <v>0</v>
      </c>
      <c r="P104" s="629">
        <f>IF(ISERROR(+N104*O104),"",+N104*O104)</f>
        <v>0</v>
      </c>
      <c r="Q104" s="755"/>
      <c r="R104" s="616"/>
      <c r="S104" s="1120"/>
    </row>
    <row r="105" spans="2:19" x14ac:dyDescent="0.25">
      <c r="B105" s="777" t="str">
        <f>+'[3]5.Domiciliarias Colector La Yuq'!C20</f>
        <v>Construcción de cajas  0.6x0.6x0.8 m</v>
      </c>
      <c r="C105" s="840" t="e">
        <f>'FORMATO PROPUESTA ECONÓMICA'!#REF!</f>
        <v>#REF!</v>
      </c>
      <c r="D105" s="753"/>
      <c r="E105" s="634">
        <f>'6. Presup. Sector 5'!E105</f>
        <v>10.5</v>
      </c>
      <c r="F105" s="633" t="s">
        <v>100</v>
      </c>
      <c r="G105" s="628" t="s">
        <v>15</v>
      </c>
      <c r="H105" s="629">
        <f>IF(ISERROR(VLOOKUP($D105,[4]Ppto!$A$3:$F$100,4,)),0,VLOOKUP($D105,[4]Ppto!$A$3:$F$100,4,))</f>
        <v>0</v>
      </c>
      <c r="I105" s="630">
        <f>IF(ISERROR(VLOOKUP($D105,[4]Ppto!$A$3:$F$100,5,)),0,VLOOKUP($D105,[4]Ppto!$A$3:$F$100,5,))</f>
        <v>0</v>
      </c>
      <c r="J105" s="631">
        <v>1</v>
      </c>
      <c r="K105" s="630">
        <f t="shared" si="7"/>
        <v>0</v>
      </c>
      <c r="L105" s="630">
        <f t="shared" si="0"/>
        <v>0</v>
      </c>
      <c r="M105" s="630">
        <f t="shared" si="8"/>
        <v>0</v>
      </c>
      <c r="N105" s="761">
        <f>6*0.4*0.5*0.5</f>
        <v>0.60000000000000009</v>
      </c>
      <c r="O105" s="623">
        <f>'FORMATO PROPUESTA ECONÓMICA'!E130</f>
        <v>0</v>
      </c>
      <c r="P105" s="629">
        <f>IF(ISERROR(+N105*O105),"",+N105*O105)</f>
        <v>0</v>
      </c>
      <c r="Q105" s="755"/>
      <c r="R105" s="616"/>
      <c r="S105" s="1120"/>
    </row>
    <row r="106" spans="2:19" ht="30" hidden="1" x14ac:dyDescent="0.25">
      <c r="B106" s="777" t="str">
        <f>+'[3]5.Domiciliarias Colector La Yuq'!C21</f>
        <v>De empalme en andén o zona verde, para domiciliarias de alcantarillado.  Incluye acabado de la tapa según andén existente</v>
      </c>
      <c r="C106" s="840" t="e">
        <f>'FORMATO PROPUESTA ECONÓMICA'!#REF!</f>
        <v>#REF!</v>
      </c>
      <c r="D106" s="753"/>
      <c r="E106" s="634">
        <f>'6. Presup. Sector 5'!E106</f>
        <v>10.6</v>
      </c>
      <c r="F106" s="633" t="s">
        <v>101</v>
      </c>
      <c r="G106" s="628" t="s">
        <v>352</v>
      </c>
      <c r="H106" s="629">
        <f>IF(ISERROR(VLOOKUP($D106,[4]Ppto!$A$3:$F$100,4,)),0,VLOOKUP($D106,[4]Ppto!$A$3:$F$100,4,))</f>
        <v>0</v>
      </c>
      <c r="I106" s="630">
        <f>IF(ISERROR(VLOOKUP($D106,[4]Ppto!$A$3:$F$100,5,)),0,VLOOKUP($D106,[4]Ppto!$A$3:$F$100,5,))</f>
        <v>0</v>
      </c>
      <c r="J106" s="631">
        <v>1</v>
      </c>
      <c r="K106" s="630">
        <f t="shared" si="7"/>
        <v>0</v>
      </c>
      <c r="L106" s="630">
        <f t="shared" si="0"/>
        <v>0</v>
      </c>
      <c r="M106" s="630">
        <f t="shared" si="8"/>
        <v>0</v>
      </c>
      <c r="N106" s="761"/>
      <c r="O106" s="623">
        <f>'FORMATO PROPUESTA ECONÓMICA'!E131</f>
        <v>0</v>
      </c>
      <c r="P106" s="629">
        <f t="shared" ref="P106:P107" si="9">IF(ISERROR(+N106*O106),"",+N106*O106)</f>
        <v>0</v>
      </c>
      <c r="Q106" s="755"/>
      <c r="R106" s="616"/>
      <c r="S106" s="1120"/>
    </row>
    <row r="107" spans="2:19" ht="30" hidden="1" x14ac:dyDescent="0.25">
      <c r="B107" s="777"/>
      <c r="C107" s="840"/>
      <c r="D107" s="753"/>
      <c r="E107" s="634">
        <f>'6. Presup. Sector 5'!E107</f>
        <v>10.7</v>
      </c>
      <c r="F107" s="633" t="s">
        <v>465</v>
      </c>
      <c r="G107" s="628" t="s">
        <v>16</v>
      </c>
      <c r="H107" s="629"/>
      <c r="I107" s="630"/>
      <c r="J107" s="631"/>
      <c r="K107" s="630"/>
      <c r="L107" s="630"/>
      <c r="M107" s="630"/>
      <c r="N107" s="761"/>
      <c r="O107" s="623">
        <f>'FORMATO PROPUESTA ECONÓMICA'!E132</f>
        <v>0</v>
      </c>
      <c r="P107" s="629">
        <f t="shared" si="9"/>
        <v>0</v>
      </c>
      <c r="Q107" s="755"/>
      <c r="R107" s="616"/>
      <c r="S107" s="1120"/>
    </row>
    <row r="108" spans="2:19" x14ac:dyDescent="0.25">
      <c r="B108" s="750" t="str">
        <f>+'[3]1. Colector Principal'!C51</f>
        <v>Suministro e Intalación de geotextil para la protección del lleno en la zanja</v>
      </c>
      <c r="C108" s="890" t="e">
        <f>'FORMATO PROPUESTA ECONÓMICA'!#REF!</f>
        <v>#REF!</v>
      </c>
      <c r="D108" s="758"/>
      <c r="E108" s="732">
        <f>'6. Presup. Sector 5'!E108</f>
        <v>11</v>
      </c>
      <c r="F108" s="778" t="s">
        <v>102</v>
      </c>
      <c r="G108" s="779"/>
      <c r="H108" s="39">
        <f>IF(ISERROR(VLOOKUP($D108,[4]Ppto!$A$3:$F$100,4,)),0,VLOOKUP($D108,[4]Ppto!$A$3:$F$100,4,))</f>
        <v>0</v>
      </c>
      <c r="I108" s="40">
        <f>IF(ISERROR(VLOOKUP($D108,[4]Ppto!$A$3:$F$100,5,)),0,VLOOKUP($D108,[4]Ppto!$A$3:$F$100,5,))</f>
        <v>0</v>
      </c>
      <c r="J108" s="41">
        <v>1</v>
      </c>
      <c r="K108" s="40">
        <f t="shared" si="7"/>
        <v>0</v>
      </c>
      <c r="L108" s="40">
        <f t="shared" si="0"/>
        <v>0</v>
      </c>
      <c r="M108" s="40">
        <f t="shared" si="8"/>
        <v>0</v>
      </c>
      <c r="N108" s="760"/>
      <c r="O108" s="803"/>
      <c r="P108" s="39"/>
      <c r="Q108" s="755"/>
      <c r="R108" s="616"/>
      <c r="S108" s="1120"/>
    </row>
    <row r="109" spans="2:19" x14ac:dyDescent="0.25">
      <c r="B109" s="750" t="str">
        <f>+'[3]1. Colector Principal'!C52</f>
        <v>Geotextil No tejido por cada 100m2</v>
      </c>
      <c r="C109" s="840" t="e">
        <f>'FORMATO PROPUESTA ECONÓMICA'!#REF!</f>
        <v>#REF!</v>
      </c>
      <c r="D109" s="756"/>
      <c r="E109" s="620">
        <f>'6. Presup. Sector 5'!E109</f>
        <v>11.1</v>
      </c>
      <c r="F109" s="633" t="s">
        <v>103</v>
      </c>
      <c r="G109" s="628" t="s">
        <v>15</v>
      </c>
      <c r="H109" s="629">
        <f>IF(ISERROR(VLOOKUP($D109,[4]Ppto!$A$3:$F$100,4,)),0,VLOOKUP($D109,[4]Ppto!$A$3:$F$100,4,))</f>
        <v>0</v>
      </c>
      <c r="I109" s="630">
        <f>IF(ISERROR(VLOOKUP($D109,[4]Ppto!$A$3:$F$100,5,)),0,VLOOKUP($D109,[4]Ppto!$A$3:$F$100,5,))</f>
        <v>0</v>
      </c>
      <c r="J109" s="631">
        <v>1.0000020789169788</v>
      </c>
      <c r="K109" s="630">
        <f t="shared" si="7"/>
        <v>0</v>
      </c>
      <c r="L109" s="630">
        <f t="shared" si="0"/>
        <v>0</v>
      </c>
      <c r="M109" s="630">
        <f t="shared" si="8"/>
        <v>0</v>
      </c>
      <c r="N109" s="761">
        <v>4</v>
      </c>
      <c r="O109" s="623">
        <f>'FORMATO PROPUESTA ECONÓMICA'!E134</f>
        <v>0</v>
      </c>
      <c r="P109" s="629">
        <f>IF(ISERROR(+N109*O109),"",+N109*O109)</f>
        <v>0</v>
      </c>
      <c r="Q109" s="755"/>
      <c r="R109" s="616"/>
      <c r="S109" s="1120"/>
    </row>
    <row r="110" spans="2:19" hidden="1" x14ac:dyDescent="0.25">
      <c r="B110" s="750" t="str">
        <f>+'[3]1. Colector Principal'!C53</f>
        <v>Pilotes de madera Inmunizada Ø=0.15</v>
      </c>
      <c r="C110" s="840" t="e">
        <f>'FORMATO PROPUESTA ECONÓMICA'!#REF!</f>
        <v>#REF!</v>
      </c>
      <c r="D110" s="756"/>
      <c r="E110" s="620">
        <f>'6. Presup. Sector 5'!E110</f>
        <v>11.2</v>
      </c>
      <c r="F110" s="633" t="s">
        <v>104</v>
      </c>
      <c r="G110" s="628" t="s">
        <v>15</v>
      </c>
      <c r="H110" s="629">
        <f>IF(ISERROR(VLOOKUP($D110,[4]Ppto!$A$3:$F$100,4,)),0,VLOOKUP($D110,[4]Ppto!$A$3:$F$100,4,))</f>
        <v>0</v>
      </c>
      <c r="I110" s="630">
        <f>IF(ISERROR(VLOOKUP($D110,[4]Ppto!$A$3:$F$100,5,)),0,VLOOKUP($D110,[4]Ppto!$A$3:$F$100,5,))</f>
        <v>0</v>
      </c>
      <c r="J110" s="631">
        <v>1.0000000000000002</v>
      </c>
      <c r="K110" s="630">
        <f t="shared" si="7"/>
        <v>0</v>
      </c>
      <c r="L110" s="630">
        <f t="shared" si="0"/>
        <v>0</v>
      </c>
      <c r="M110" s="630">
        <f t="shared" si="8"/>
        <v>0</v>
      </c>
      <c r="N110" s="761"/>
      <c r="O110" s="623">
        <f>'FORMATO PROPUESTA ECONÓMICA'!E135</f>
        <v>0</v>
      </c>
      <c r="P110" s="629">
        <f>IF(ISERROR(+N110*O110),"",+N110*O110)</f>
        <v>0</v>
      </c>
      <c r="Q110" s="755"/>
      <c r="R110" s="616"/>
      <c r="S110" s="1120"/>
    </row>
    <row r="111" spans="2:19" ht="45" hidden="1" x14ac:dyDescent="0.25">
      <c r="B111" s="750"/>
      <c r="C111" s="840" t="e">
        <f>'FORMATO PROPUESTA ECONÓMICA'!#REF!</f>
        <v>#REF!</v>
      </c>
      <c r="D111" s="753"/>
      <c r="E111" s="620">
        <f>'6. Presup. Sector 5'!E111</f>
        <v>11.3</v>
      </c>
      <c r="F111" s="633" t="s">
        <v>105</v>
      </c>
      <c r="G111" s="628" t="s">
        <v>15</v>
      </c>
      <c r="H111" s="629"/>
      <c r="I111" s="630"/>
      <c r="J111" s="631"/>
      <c r="K111" s="630"/>
      <c r="L111" s="630"/>
      <c r="M111" s="630"/>
      <c r="N111" s="761"/>
      <c r="O111" s="623">
        <f>'FORMATO PROPUESTA ECONÓMICA'!E136</f>
        <v>0</v>
      </c>
      <c r="P111" s="629">
        <f>IF(ISERROR(+N111*O111),"",+N111*O111)</f>
        <v>0</v>
      </c>
      <c r="Q111" s="755"/>
      <c r="R111" s="616"/>
      <c r="S111" s="1120"/>
    </row>
    <row r="112" spans="2:19" ht="30" x14ac:dyDescent="0.25">
      <c r="B112" s="750"/>
      <c r="C112" s="840" t="e">
        <f>'FORMATO PROPUESTA ECONÓMICA'!#REF!</f>
        <v>#REF!</v>
      </c>
      <c r="D112" s="753"/>
      <c r="E112" s="620">
        <f>'6. Presup. Sector 5'!E112</f>
        <v>11.4</v>
      </c>
      <c r="F112" s="633" t="s">
        <v>106</v>
      </c>
      <c r="G112" s="628" t="s">
        <v>15</v>
      </c>
      <c r="H112" s="629">
        <f>IF(ISERROR(VLOOKUP($D112,[4]Ppto!$A$3:$F$100,4,)),0,VLOOKUP($D112,[4]Ppto!$A$3:$F$100,4,))</f>
        <v>0</v>
      </c>
      <c r="I112" s="630">
        <f>IF(ISERROR(VLOOKUP($D112,[4]Ppto!$A$3:$F$100,5,)),0,VLOOKUP($D112,[4]Ppto!$A$3:$F$100,5,))</f>
        <v>0</v>
      </c>
      <c r="J112" s="631">
        <v>0.99996823491225251</v>
      </c>
      <c r="K112" s="630">
        <f>+I112-O112</f>
        <v>0</v>
      </c>
      <c r="L112" s="630">
        <f t="shared" ref="L112" si="10">+H112*I112</f>
        <v>0</v>
      </c>
      <c r="M112" s="630">
        <f>+L112-P112</f>
        <v>0</v>
      </c>
      <c r="N112" s="761">
        <v>4</v>
      </c>
      <c r="O112" s="623">
        <f>'FORMATO PROPUESTA ECONÓMICA'!E137</f>
        <v>0</v>
      </c>
      <c r="P112" s="629">
        <f>IF(ISERROR(+N112*O112),"",+N112*O112)</f>
        <v>0</v>
      </c>
      <c r="Q112" s="755"/>
      <c r="R112" s="616"/>
      <c r="S112" s="1120"/>
    </row>
    <row r="113" spans="2:19" hidden="1" x14ac:dyDescent="0.25">
      <c r="B113" s="750"/>
      <c r="C113" s="890"/>
      <c r="D113" s="758"/>
      <c r="E113" s="732">
        <f>'6. Presup. Sector 5'!E113</f>
        <v>12</v>
      </c>
      <c r="F113" s="45" t="s">
        <v>350</v>
      </c>
      <c r="G113" s="44"/>
      <c r="H113" s="39"/>
      <c r="I113" s="40"/>
      <c r="J113" s="41"/>
      <c r="K113" s="40"/>
      <c r="L113" s="40"/>
      <c r="M113" s="40"/>
      <c r="N113" s="894"/>
      <c r="O113" s="39"/>
      <c r="P113" s="39"/>
      <c r="Q113" s="755"/>
      <c r="R113" s="616"/>
      <c r="S113" s="1120"/>
    </row>
    <row r="114" spans="2:19" hidden="1" x14ac:dyDescent="0.25">
      <c r="B114" s="750" t="str">
        <f>+'[3]1. Colector Principal'!C54</f>
        <v>Elaboración y Colocación de Concreto 2500 PSI para anclajes (incluye formaletería y Clavos)</v>
      </c>
      <c r="C114" s="840" t="e">
        <f>'FORMATO PROPUESTA ECONÓMICA'!#REF!</f>
        <v>#REF!</v>
      </c>
      <c r="D114" s="756"/>
      <c r="E114" s="620">
        <f>'6. Presup. Sector 5'!E114</f>
        <v>12.1</v>
      </c>
      <c r="F114" s="627" t="s">
        <v>351</v>
      </c>
      <c r="G114" s="628" t="s">
        <v>79</v>
      </c>
      <c r="H114" s="629">
        <v>118716.25</v>
      </c>
      <c r="I114" s="630"/>
      <c r="J114" s="631"/>
      <c r="K114" s="630"/>
      <c r="L114" s="630"/>
      <c r="M114" s="630"/>
      <c r="N114" s="859">
        <f>N96+N92+N81+N62+N50+N49+N41</f>
        <v>66</v>
      </c>
      <c r="O114" s="629"/>
      <c r="P114" s="629">
        <f>IF(ISERROR(+N114*O114),"",+N114*O114)</f>
        <v>0</v>
      </c>
      <c r="Q114" s="755"/>
      <c r="R114" s="616"/>
      <c r="S114" s="1120"/>
    </row>
    <row r="115" spans="2:19" x14ac:dyDescent="0.25">
      <c r="B115" s="750">
        <f>+'[3]1. Colector Principal'!C64</f>
        <v>0</v>
      </c>
      <c r="C115" s="890" t="e">
        <f>'FORMATO PROPUESTA ECONÓMICA'!#REF!</f>
        <v>#REF!</v>
      </c>
      <c r="D115" s="758"/>
      <c r="E115" s="721"/>
      <c r="F115" s="43" t="s">
        <v>18</v>
      </c>
      <c r="G115" s="44"/>
      <c r="H115" s="44"/>
      <c r="I115" s="44"/>
      <c r="J115" s="44"/>
      <c r="K115" s="44"/>
      <c r="L115" s="44"/>
      <c r="M115" s="44"/>
      <c r="N115" s="44"/>
      <c r="O115" s="39"/>
      <c r="P115" s="39"/>
      <c r="Q115" s="755"/>
      <c r="R115" s="616"/>
      <c r="S115" s="1120"/>
    </row>
    <row r="116" spans="2:19" ht="30" x14ac:dyDescent="0.25">
      <c r="B116" s="750" t="str">
        <f>+'[3]1. Colector Principal'!C65</f>
        <v>Suministro e Instalaciób  de tubería de PE para Acueducto PE 100 PN 6 RDE 26,(incluye nivelación)  en los siguientes diámetros nominales:</v>
      </c>
      <c r="C116" s="890" t="e">
        <f>'FORMATO PROPUESTA ECONÓMICA'!#REF!</f>
        <v>#REF!</v>
      </c>
      <c r="D116" s="758"/>
      <c r="E116" s="732" t="e">
        <f>'6. Presup. Sector 5'!E116</f>
        <v>#REF!</v>
      </c>
      <c r="F116" s="43" t="s">
        <v>367</v>
      </c>
      <c r="G116" s="44"/>
      <c r="H116" s="39">
        <f>IF(ISERROR(VLOOKUP($D116,[4]Ppto!$A$3:$F$100,4,)),0,VLOOKUP($D116,[4]Ppto!$A$3:$F$100,4,))</f>
        <v>0</v>
      </c>
      <c r="I116" s="40">
        <f>IF(ISERROR(VLOOKUP($D116,[4]Ppto!$A$3:$F$100,5,)),0,VLOOKUP($D116,[4]Ppto!$A$3:$F$100,5,))</f>
        <v>0</v>
      </c>
      <c r="J116" s="41">
        <v>1</v>
      </c>
      <c r="K116" s="40">
        <f>+I116-O116</f>
        <v>0</v>
      </c>
      <c r="L116" s="40">
        <f t="shared" ref="L116" si="11">+H116*I116</f>
        <v>0</v>
      </c>
      <c r="M116" s="40">
        <f>+L116-P116</f>
        <v>0</v>
      </c>
      <c r="N116" s="39"/>
      <c r="O116" s="39"/>
      <c r="P116" s="39"/>
      <c r="Q116" s="755"/>
      <c r="R116" s="616"/>
      <c r="S116" s="1120"/>
    </row>
    <row r="117" spans="2:19" hidden="1" x14ac:dyDescent="0.25">
      <c r="B117" s="750"/>
      <c r="C117" s="840" t="e">
        <f>'FORMATO PROPUESTA ECONÓMICA'!#REF!</f>
        <v>#REF!</v>
      </c>
      <c r="D117" s="756"/>
      <c r="E117" s="620" t="e">
        <f>'6. Presup. Sector 5'!E117</f>
        <v>#REF!</v>
      </c>
      <c r="F117" s="633" t="s">
        <v>368</v>
      </c>
      <c r="G117" s="628" t="str">
        <f>G35</f>
        <v>ml</v>
      </c>
      <c r="H117" s="628">
        <f t="shared" ref="H117:N117" si="12">H35</f>
        <v>0</v>
      </c>
      <c r="I117" s="628">
        <f t="shared" si="12"/>
        <v>0</v>
      </c>
      <c r="J117" s="628">
        <f t="shared" si="12"/>
        <v>1.0000083683818088</v>
      </c>
      <c r="K117" s="628" t="e">
        <f t="shared" si="12"/>
        <v>#REF!</v>
      </c>
      <c r="L117" s="628">
        <f t="shared" si="12"/>
        <v>0</v>
      </c>
      <c r="M117" s="628">
        <f t="shared" si="12"/>
        <v>0</v>
      </c>
      <c r="N117" s="628">
        <f t="shared" si="12"/>
        <v>0</v>
      </c>
      <c r="O117" s="629">
        <v>10208</v>
      </c>
      <c r="P117" s="629">
        <f t="shared" ref="P117:P143" si="13">IF(ISERROR(+N117*O117),"",+N117*O117)</f>
        <v>0</v>
      </c>
      <c r="Q117" s="755"/>
      <c r="S117" s="1120"/>
    </row>
    <row r="118" spans="2:19" x14ac:dyDescent="0.25">
      <c r="B118" s="750" t="str">
        <f>+'[3]2.Secundarias B_Obrero'!C52</f>
        <v>Tubería PE Øint. 184.6mm</v>
      </c>
      <c r="C118" s="840" t="e">
        <f>'FORMATO PROPUESTA ECONÓMICA'!#REF!</f>
        <v>#REF!</v>
      </c>
      <c r="D118" s="756"/>
      <c r="E118" s="620" t="e">
        <f>'6. Presup. Sector 5'!E118</f>
        <v>#REF!</v>
      </c>
      <c r="F118" s="633" t="s">
        <v>404</v>
      </c>
      <c r="G118" s="628" t="str">
        <f t="shared" ref="G118:N118" si="14">G36</f>
        <v>ml</v>
      </c>
      <c r="H118" s="628">
        <f t="shared" si="14"/>
        <v>0</v>
      </c>
      <c r="I118" s="628">
        <f t="shared" si="14"/>
        <v>0</v>
      </c>
      <c r="J118" s="628">
        <f t="shared" si="14"/>
        <v>0.99995852949508546</v>
      </c>
      <c r="K118" s="628">
        <f t="shared" si="14"/>
        <v>0</v>
      </c>
      <c r="L118" s="628">
        <f t="shared" si="14"/>
        <v>0</v>
      </c>
      <c r="M118" s="628">
        <f t="shared" si="14"/>
        <v>0</v>
      </c>
      <c r="N118" s="628">
        <f t="shared" si="14"/>
        <v>4700</v>
      </c>
      <c r="O118" s="629">
        <v>13708</v>
      </c>
      <c r="P118" s="629">
        <f t="shared" si="13"/>
        <v>64427600</v>
      </c>
      <c r="Q118" s="755"/>
      <c r="S118" s="1120"/>
    </row>
    <row r="119" spans="2:19" x14ac:dyDescent="0.25">
      <c r="B119" s="750" t="str">
        <f>+'[3]1. Colector Principal'!C66</f>
        <v>Tubería PE Øint. 230.8mm</v>
      </c>
      <c r="C119" s="840" t="e">
        <f>'FORMATO PROPUESTA ECONÓMICA'!#REF!</f>
        <v>#REF!</v>
      </c>
      <c r="D119" s="756"/>
      <c r="E119" s="620" t="e">
        <f>'6. Presup. Sector 5'!E119</f>
        <v>#REF!</v>
      </c>
      <c r="F119" s="633" t="s">
        <v>405</v>
      </c>
      <c r="G119" s="628" t="str">
        <f t="shared" ref="G119:N119" si="15">G37</f>
        <v>ml</v>
      </c>
      <c r="H119" s="628">
        <f t="shared" si="15"/>
        <v>0</v>
      </c>
      <c r="I119" s="628">
        <f t="shared" si="15"/>
        <v>0</v>
      </c>
      <c r="J119" s="628">
        <f t="shared" si="15"/>
        <v>0</v>
      </c>
      <c r="K119" s="628">
        <f t="shared" si="15"/>
        <v>0</v>
      </c>
      <c r="L119" s="628">
        <f t="shared" si="15"/>
        <v>0</v>
      </c>
      <c r="M119" s="628">
        <f t="shared" si="15"/>
        <v>0</v>
      </c>
      <c r="N119" s="628">
        <f t="shared" si="15"/>
        <v>455</v>
      </c>
      <c r="O119" s="629">
        <v>20240</v>
      </c>
      <c r="P119" s="629">
        <f t="shared" si="13"/>
        <v>9209200</v>
      </c>
      <c r="Q119" s="755"/>
      <c r="S119" s="1120"/>
    </row>
    <row r="120" spans="2:19" hidden="1" x14ac:dyDescent="0.25">
      <c r="B120" s="750" t="str">
        <f>+'[3]1. Colector Principal'!C67</f>
        <v>Tubería PE Øint. 290.8mm</v>
      </c>
      <c r="C120" s="840" t="e">
        <f>'FORMATO PROPUESTA ECONÓMICA'!#REF!</f>
        <v>#REF!</v>
      </c>
      <c r="D120" s="756"/>
      <c r="E120" s="620" t="e">
        <f>'6. Presup. Sector 5'!E120</f>
        <v>#REF!</v>
      </c>
      <c r="F120" s="633" t="s">
        <v>406</v>
      </c>
      <c r="G120" s="628" t="str">
        <f t="shared" ref="G120:N120" si="16">G38</f>
        <v>ml</v>
      </c>
      <c r="H120" s="628">
        <f t="shared" si="16"/>
        <v>0</v>
      </c>
      <c r="I120" s="628">
        <f t="shared" si="16"/>
        <v>0</v>
      </c>
      <c r="J120" s="628">
        <f t="shared" si="16"/>
        <v>0</v>
      </c>
      <c r="K120" s="628">
        <f t="shared" si="16"/>
        <v>0</v>
      </c>
      <c r="L120" s="628">
        <f t="shared" si="16"/>
        <v>0</v>
      </c>
      <c r="M120" s="628">
        <f t="shared" si="16"/>
        <v>0</v>
      </c>
      <c r="N120" s="628">
        <f t="shared" si="16"/>
        <v>0</v>
      </c>
      <c r="O120" s="629">
        <v>43240</v>
      </c>
      <c r="P120" s="629">
        <f t="shared" si="13"/>
        <v>0</v>
      </c>
      <c r="Q120" s="755"/>
      <c r="S120" s="1120"/>
    </row>
    <row r="121" spans="2:19" hidden="1" x14ac:dyDescent="0.25">
      <c r="B121" s="750"/>
      <c r="C121" s="840" t="e">
        <f>'FORMATO PROPUESTA ECONÓMICA'!#REF!</f>
        <v>#REF!</v>
      </c>
      <c r="D121" s="756"/>
      <c r="E121" s="620" t="e">
        <f>'6. Presup. Sector 5'!E121</f>
        <v>#REF!</v>
      </c>
      <c r="F121" s="633" t="s">
        <v>407</v>
      </c>
      <c r="G121" s="628" t="str">
        <f t="shared" ref="G121:N121" si="17">G39</f>
        <v>ml</v>
      </c>
      <c r="H121" s="628">
        <f t="shared" si="17"/>
        <v>0</v>
      </c>
      <c r="I121" s="628">
        <f t="shared" si="17"/>
        <v>0</v>
      </c>
      <c r="J121" s="628">
        <f t="shared" si="17"/>
        <v>1</v>
      </c>
      <c r="K121" s="628">
        <f t="shared" si="17"/>
        <v>0</v>
      </c>
      <c r="L121" s="628">
        <f t="shared" si="17"/>
        <v>0</v>
      </c>
      <c r="M121" s="628">
        <f t="shared" si="17"/>
        <v>0</v>
      </c>
      <c r="N121" s="628">
        <f t="shared" si="17"/>
        <v>0</v>
      </c>
      <c r="O121" s="629">
        <v>97199</v>
      </c>
      <c r="P121" s="629">
        <f t="shared" si="13"/>
        <v>0</v>
      </c>
      <c r="Q121" s="755"/>
      <c r="S121" s="1120"/>
    </row>
    <row r="122" spans="2:19" hidden="1" x14ac:dyDescent="0.25">
      <c r="B122" s="750"/>
      <c r="C122" s="840" t="e">
        <f>'FORMATO PROPUESTA ECONÓMICA'!#REF!</f>
        <v>#REF!</v>
      </c>
      <c r="D122" s="756"/>
      <c r="E122" s="620" t="e">
        <f>'6. Presup. Sector 5'!E122</f>
        <v>#REF!</v>
      </c>
      <c r="F122" s="633" t="s">
        <v>379</v>
      </c>
      <c r="G122" s="628" t="str">
        <f t="shared" ref="G122:N122" si="18">G40</f>
        <v>und</v>
      </c>
      <c r="H122" s="628">
        <f t="shared" si="18"/>
        <v>0</v>
      </c>
      <c r="I122" s="628">
        <f t="shared" si="18"/>
        <v>0</v>
      </c>
      <c r="J122" s="628">
        <f t="shared" si="18"/>
        <v>0</v>
      </c>
      <c r="K122" s="628">
        <f t="shared" si="18"/>
        <v>0</v>
      </c>
      <c r="L122" s="628">
        <f t="shared" si="18"/>
        <v>0</v>
      </c>
      <c r="M122" s="628">
        <f t="shared" si="18"/>
        <v>0</v>
      </c>
      <c r="N122" s="628">
        <f t="shared" si="18"/>
        <v>0</v>
      </c>
      <c r="O122" s="629">
        <v>39195</v>
      </c>
      <c r="P122" s="629">
        <f t="shared" si="13"/>
        <v>0</v>
      </c>
      <c r="Q122" s="755"/>
      <c r="S122" s="1120"/>
    </row>
    <row r="123" spans="2:19" x14ac:dyDescent="0.25">
      <c r="B123" s="750"/>
      <c r="C123" s="840" t="e">
        <f>'FORMATO PROPUESTA ECONÓMICA'!#REF!</f>
        <v>#REF!</v>
      </c>
      <c r="D123" s="756"/>
      <c r="E123" s="620" t="e">
        <f>'6. Presup. Sector 5'!E123</f>
        <v>#REF!</v>
      </c>
      <c r="F123" s="633" t="s">
        <v>380</v>
      </c>
      <c r="G123" s="628" t="str">
        <f t="shared" ref="G123:N123" si="19">G41</f>
        <v>und</v>
      </c>
      <c r="H123" s="628">
        <f t="shared" si="19"/>
        <v>0</v>
      </c>
      <c r="I123" s="628">
        <f t="shared" si="19"/>
        <v>0</v>
      </c>
      <c r="J123" s="628">
        <f t="shared" si="19"/>
        <v>0</v>
      </c>
      <c r="K123" s="628">
        <f t="shared" si="19"/>
        <v>0</v>
      </c>
      <c r="L123" s="628">
        <f t="shared" si="19"/>
        <v>0</v>
      </c>
      <c r="M123" s="628">
        <f t="shared" si="19"/>
        <v>0</v>
      </c>
      <c r="N123" s="628">
        <f t="shared" si="19"/>
        <v>32</v>
      </c>
      <c r="O123" s="629">
        <v>47749</v>
      </c>
      <c r="P123" s="629">
        <f t="shared" si="13"/>
        <v>1527968</v>
      </c>
      <c r="Q123" s="755"/>
      <c r="S123" s="1120"/>
    </row>
    <row r="124" spans="2:19" hidden="1" x14ac:dyDescent="0.25">
      <c r="B124" s="750"/>
      <c r="C124" s="840" t="e">
        <f>'FORMATO PROPUESTA ECONÓMICA'!#REF!</f>
        <v>#REF!</v>
      </c>
      <c r="D124" s="756"/>
      <c r="E124" s="620" t="e">
        <f>'6. Presup. Sector 5'!E124</f>
        <v>#REF!</v>
      </c>
      <c r="F124" s="633" t="s">
        <v>408</v>
      </c>
      <c r="G124" s="628" t="str">
        <f t="shared" ref="G124:N124" si="20">G42</f>
        <v>und</v>
      </c>
      <c r="H124" s="628">
        <f t="shared" si="20"/>
        <v>0</v>
      </c>
      <c r="I124" s="628">
        <f t="shared" si="20"/>
        <v>0</v>
      </c>
      <c r="J124" s="628">
        <f t="shared" si="20"/>
        <v>0</v>
      </c>
      <c r="K124" s="628">
        <f t="shared" si="20"/>
        <v>0</v>
      </c>
      <c r="L124" s="628">
        <f t="shared" si="20"/>
        <v>0</v>
      </c>
      <c r="M124" s="628">
        <f t="shared" si="20"/>
        <v>0</v>
      </c>
      <c r="N124" s="628">
        <f t="shared" si="20"/>
        <v>0</v>
      </c>
      <c r="O124" s="629">
        <v>64172</v>
      </c>
      <c r="P124" s="629">
        <f t="shared" si="13"/>
        <v>0</v>
      </c>
      <c r="Q124" s="755"/>
      <c r="S124" s="1120"/>
    </row>
    <row r="125" spans="2:19" hidden="1" x14ac:dyDescent="0.25">
      <c r="B125" s="750"/>
      <c r="C125" s="840" t="e">
        <f>'FORMATO PROPUESTA ECONÓMICA'!#REF!</f>
        <v>#REF!</v>
      </c>
      <c r="D125" s="756"/>
      <c r="E125" s="620" t="e">
        <f>'6. Presup. Sector 5'!E125</f>
        <v>#REF!</v>
      </c>
      <c r="F125" s="633" t="s">
        <v>409</v>
      </c>
      <c r="G125" s="628" t="str">
        <f t="shared" ref="G125:N125" si="21">G43</f>
        <v>und</v>
      </c>
      <c r="H125" s="628">
        <f t="shared" si="21"/>
        <v>0</v>
      </c>
      <c r="I125" s="628">
        <f t="shared" si="21"/>
        <v>0</v>
      </c>
      <c r="J125" s="628">
        <f t="shared" si="21"/>
        <v>0</v>
      </c>
      <c r="K125" s="628">
        <f t="shared" si="21"/>
        <v>0</v>
      </c>
      <c r="L125" s="628">
        <f t="shared" si="21"/>
        <v>0</v>
      </c>
      <c r="M125" s="628">
        <f t="shared" si="21"/>
        <v>0</v>
      </c>
      <c r="N125" s="628">
        <f t="shared" si="21"/>
        <v>0</v>
      </c>
      <c r="O125" s="629">
        <v>244662</v>
      </c>
      <c r="P125" s="629">
        <f t="shared" si="13"/>
        <v>0</v>
      </c>
      <c r="Q125" s="755"/>
      <c r="S125" s="1120"/>
    </row>
    <row r="126" spans="2:19" hidden="1" x14ac:dyDescent="0.25">
      <c r="B126" s="750"/>
      <c r="C126" s="840" t="e">
        <f>'FORMATO PROPUESTA ECONÓMICA'!#REF!</f>
        <v>#REF!</v>
      </c>
      <c r="D126" s="756"/>
      <c r="E126" s="620" t="e">
        <f>'6. Presup. Sector 5'!E126</f>
        <v>#REF!</v>
      </c>
      <c r="F126" s="633" t="s">
        <v>410</v>
      </c>
      <c r="G126" s="628" t="str">
        <f t="shared" ref="G126:N126" si="22">G44</f>
        <v>und</v>
      </c>
      <c r="H126" s="628">
        <f t="shared" si="22"/>
        <v>0</v>
      </c>
      <c r="I126" s="628">
        <f t="shared" si="22"/>
        <v>0</v>
      </c>
      <c r="J126" s="628">
        <f t="shared" si="22"/>
        <v>0</v>
      </c>
      <c r="K126" s="628">
        <f t="shared" si="22"/>
        <v>0</v>
      </c>
      <c r="L126" s="628">
        <f t="shared" si="22"/>
        <v>0</v>
      </c>
      <c r="M126" s="628">
        <f t="shared" si="22"/>
        <v>0</v>
      </c>
      <c r="N126" s="628">
        <f t="shared" si="22"/>
        <v>0</v>
      </c>
      <c r="O126" s="629">
        <v>414183</v>
      </c>
      <c r="P126" s="629">
        <f t="shared" si="13"/>
        <v>0</v>
      </c>
      <c r="Q126" s="755"/>
      <c r="S126" s="1120"/>
    </row>
    <row r="127" spans="2:19" hidden="1" x14ac:dyDescent="0.25">
      <c r="B127" s="750"/>
      <c r="C127" s="840" t="e">
        <f>'FORMATO PROPUESTA ECONÓMICA'!#REF!</f>
        <v>#REF!</v>
      </c>
      <c r="D127" s="756"/>
      <c r="E127" s="620" t="e">
        <f>'6. Presup. Sector 5'!E127</f>
        <v>#REF!</v>
      </c>
      <c r="F127" s="633" t="s">
        <v>411</v>
      </c>
      <c r="G127" s="628" t="str">
        <f t="shared" ref="G127:N128" si="23">G45</f>
        <v>und</v>
      </c>
      <c r="H127" s="628">
        <f t="shared" si="23"/>
        <v>0</v>
      </c>
      <c r="I127" s="628">
        <f t="shared" si="23"/>
        <v>0</v>
      </c>
      <c r="J127" s="628">
        <f t="shared" si="23"/>
        <v>0</v>
      </c>
      <c r="K127" s="628">
        <f t="shared" si="23"/>
        <v>0</v>
      </c>
      <c r="L127" s="628">
        <f t="shared" si="23"/>
        <v>0</v>
      </c>
      <c r="M127" s="628">
        <f t="shared" si="23"/>
        <v>0</v>
      </c>
      <c r="N127" s="628">
        <f t="shared" si="23"/>
        <v>0</v>
      </c>
      <c r="O127" s="629">
        <v>64172</v>
      </c>
      <c r="P127" s="629">
        <f t="shared" si="13"/>
        <v>0</v>
      </c>
      <c r="Q127" s="755"/>
      <c r="S127" s="1120"/>
    </row>
    <row r="128" spans="2:19" hidden="1" x14ac:dyDescent="0.25">
      <c r="B128" s="750"/>
      <c r="C128" s="840"/>
      <c r="D128" s="756"/>
      <c r="E128" s="620" t="e">
        <f>'6. Presup. Sector 5'!E128</f>
        <v>#REF!</v>
      </c>
      <c r="F128" s="633" t="s">
        <v>411</v>
      </c>
      <c r="G128" s="628" t="str">
        <f t="shared" si="23"/>
        <v>und</v>
      </c>
      <c r="H128" s="628"/>
      <c r="I128" s="628"/>
      <c r="J128" s="628"/>
      <c r="K128" s="628"/>
      <c r="L128" s="628"/>
      <c r="M128" s="628"/>
      <c r="N128" s="628">
        <f t="shared" si="23"/>
        <v>0</v>
      </c>
      <c r="O128" s="629">
        <v>64172</v>
      </c>
      <c r="P128" s="629">
        <f t="shared" si="13"/>
        <v>0</v>
      </c>
      <c r="Q128" s="755"/>
      <c r="S128" s="1120"/>
    </row>
    <row r="129" spans="2:19" hidden="1" x14ac:dyDescent="0.25">
      <c r="B129" s="750"/>
      <c r="C129" s="840" t="e">
        <f>'FORMATO PROPUESTA ECONÓMICA'!#REF!</f>
        <v>#REF!</v>
      </c>
      <c r="D129" s="756"/>
      <c r="E129" s="620" t="e">
        <f>'6. Presup. Sector 5'!E129</f>
        <v>#REF!</v>
      </c>
      <c r="F129" s="633" t="s">
        <v>412</v>
      </c>
      <c r="G129" s="628" t="str">
        <f t="shared" ref="G129:N129" si="24">G47</f>
        <v>und</v>
      </c>
      <c r="H129" s="628">
        <f t="shared" si="24"/>
        <v>0</v>
      </c>
      <c r="I129" s="628">
        <f t="shared" si="24"/>
        <v>0</v>
      </c>
      <c r="J129" s="628">
        <f t="shared" si="24"/>
        <v>0</v>
      </c>
      <c r="K129" s="628">
        <f t="shared" si="24"/>
        <v>0</v>
      </c>
      <c r="L129" s="628">
        <f t="shared" si="24"/>
        <v>0</v>
      </c>
      <c r="M129" s="628">
        <f t="shared" si="24"/>
        <v>0</v>
      </c>
      <c r="N129" s="628">
        <f t="shared" si="24"/>
        <v>0</v>
      </c>
      <c r="O129" s="629">
        <v>39195</v>
      </c>
      <c r="P129" s="629">
        <f t="shared" si="13"/>
        <v>0</v>
      </c>
      <c r="Q129" s="755"/>
      <c r="S129" s="1120"/>
    </row>
    <row r="130" spans="2:19" hidden="1" x14ac:dyDescent="0.25">
      <c r="B130" s="750"/>
      <c r="C130" s="840" t="e">
        <f>'FORMATO PROPUESTA ECONÓMICA'!#REF!</f>
        <v>#REF!</v>
      </c>
      <c r="D130" s="756"/>
      <c r="E130" s="620" t="e">
        <f>'6. Presup. Sector 5'!E130</f>
        <v>#REF!</v>
      </c>
      <c r="F130" s="633" t="s">
        <v>413</v>
      </c>
      <c r="G130" s="628" t="str">
        <f t="shared" ref="G130:N130" si="25">G48</f>
        <v>und</v>
      </c>
      <c r="H130" s="628">
        <f t="shared" si="25"/>
        <v>0</v>
      </c>
      <c r="I130" s="628">
        <f t="shared" si="25"/>
        <v>0</v>
      </c>
      <c r="J130" s="628">
        <f t="shared" si="25"/>
        <v>0</v>
      </c>
      <c r="K130" s="628">
        <f t="shared" si="25"/>
        <v>0</v>
      </c>
      <c r="L130" s="628">
        <f t="shared" si="25"/>
        <v>0</v>
      </c>
      <c r="M130" s="628">
        <f t="shared" si="25"/>
        <v>0</v>
      </c>
      <c r="N130" s="628">
        <f t="shared" si="25"/>
        <v>0</v>
      </c>
      <c r="O130" s="629">
        <v>35639</v>
      </c>
      <c r="P130" s="629">
        <f t="shared" si="13"/>
        <v>0</v>
      </c>
      <c r="Q130" s="755"/>
      <c r="S130" s="1120"/>
    </row>
    <row r="131" spans="2:19" x14ac:dyDescent="0.25">
      <c r="B131" s="750"/>
      <c r="C131" s="840" t="e">
        <f>'FORMATO PROPUESTA ECONÓMICA'!#REF!</f>
        <v>#REF!</v>
      </c>
      <c r="D131" s="756"/>
      <c r="E131" s="620" t="e">
        <f>'6. Presup. Sector 5'!E131</f>
        <v>#REF!</v>
      </c>
      <c r="F131" s="633" t="s">
        <v>414</v>
      </c>
      <c r="G131" s="628" t="str">
        <f t="shared" ref="G131:N131" si="26">G49</f>
        <v>und</v>
      </c>
      <c r="H131" s="628">
        <f t="shared" si="26"/>
        <v>0</v>
      </c>
      <c r="I131" s="628">
        <f t="shared" si="26"/>
        <v>0</v>
      </c>
      <c r="J131" s="628">
        <f t="shared" si="26"/>
        <v>0</v>
      </c>
      <c r="K131" s="628">
        <f t="shared" si="26"/>
        <v>0</v>
      </c>
      <c r="L131" s="628">
        <f t="shared" si="26"/>
        <v>0</v>
      </c>
      <c r="M131" s="628">
        <f t="shared" si="26"/>
        <v>0</v>
      </c>
      <c r="N131" s="628">
        <f t="shared" si="26"/>
        <v>8</v>
      </c>
      <c r="O131" s="629">
        <v>38236</v>
      </c>
      <c r="P131" s="629">
        <f t="shared" si="13"/>
        <v>305888</v>
      </c>
      <c r="Q131" s="755"/>
      <c r="S131" s="1120"/>
    </row>
    <row r="132" spans="2:19" x14ac:dyDescent="0.25">
      <c r="B132" s="750"/>
      <c r="C132" s="840" t="e">
        <f>'FORMATO PROPUESTA ECONÓMICA'!#REF!</f>
        <v>#REF!</v>
      </c>
      <c r="D132" s="756"/>
      <c r="E132" s="620" t="e">
        <f>'6. Presup. Sector 5'!E132</f>
        <v>#REF!</v>
      </c>
      <c r="F132" s="633" t="s">
        <v>415</v>
      </c>
      <c r="G132" s="628" t="str">
        <f t="shared" ref="G132:N132" si="27">G50</f>
        <v>und</v>
      </c>
      <c r="H132" s="628">
        <f t="shared" si="27"/>
        <v>0</v>
      </c>
      <c r="I132" s="628">
        <f t="shared" si="27"/>
        <v>0</v>
      </c>
      <c r="J132" s="628">
        <f t="shared" si="27"/>
        <v>0</v>
      </c>
      <c r="K132" s="628">
        <f t="shared" si="27"/>
        <v>0</v>
      </c>
      <c r="L132" s="628">
        <f t="shared" si="27"/>
        <v>0</v>
      </c>
      <c r="M132" s="628">
        <f t="shared" si="27"/>
        <v>0</v>
      </c>
      <c r="N132" s="628">
        <f t="shared" si="27"/>
        <v>4</v>
      </c>
      <c r="O132" s="629">
        <v>46509</v>
      </c>
      <c r="P132" s="629">
        <f t="shared" si="13"/>
        <v>186036</v>
      </c>
      <c r="Q132" s="755"/>
      <c r="S132" s="1120"/>
    </row>
    <row r="133" spans="2:19" hidden="1" x14ac:dyDescent="0.25">
      <c r="B133" s="750"/>
      <c r="C133" s="840" t="e">
        <f>'FORMATO PROPUESTA ECONÓMICA'!#REF!</f>
        <v>#REF!</v>
      </c>
      <c r="D133" s="756"/>
      <c r="E133" s="620" t="e">
        <f>'6. Presup. Sector 5'!E133</f>
        <v>#REF!</v>
      </c>
      <c r="F133" s="633" t="s">
        <v>416</v>
      </c>
      <c r="G133" s="628" t="str">
        <f t="shared" ref="G133:N133" si="28">G51</f>
        <v>und</v>
      </c>
      <c r="H133" s="628">
        <f t="shared" si="28"/>
        <v>0</v>
      </c>
      <c r="I133" s="628">
        <f t="shared" si="28"/>
        <v>0</v>
      </c>
      <c r="J133" s="628">
        <f t="shared" si="28"/>
        <v>0</v>
      </c>
      <c r="K133" s="628">
        <f t="shared" si="28"/>
        <v>0</v>
      </c>
      <c r="L133" s="628">
        <f t="shared" si="28"/>
        <v>0</v>
      </c>
      <c r="M133" s="628">
        <f t="shared" si="28"/>
        <v>0</v>
      </c>
      <c r="N133" s="628">
        <f t="shared" si="28"/>
        <v>0</v>
      </c>
      <c r="O133" s="629">
        <v>35277.919999999998</v>
      </c>
      <c r="P133" s="629">
        <f t="shared" si="13"/>
        <v>0</v>
      </c>
      <c r="Q133" s="755"/>
      <c r="S133" s="1120"/>
    </row>
    <row r="134" spans="2:19" hidden="1" x14ac:dyDescent="0.25">
      <c r="B134" s="750"/>
      <c r="C134" s="840" t="e">
        <f>'FORMATO PROPUESTA ECONÓMICA'!#REF!</f>
        <v>#REF!</v>
      </c>
      <c r="D134" s="756"/>
      <c r="E134" s="620" t="e">
        <f>'6. Presup. Sector 5'!E134</f>
        <v>#REF!</v>
      </c>
      <c r="F134" s="633" t="s">
        <v>417</v>
      </c>
      <c r="G134" s="628" t="str">
        <f t="shared" ref="G134:N134" si="29">G52</f>
        <v>und</v>
      </c>
      <c r="H134" s="628">
        <f t="shared" si="29"/>
        <v>0</v>
      </c>
      <c r="I134" s="628">
        <f t="shared" si="29"/>
        <v>0</v>
      </c>
      <c r="J134" s="628">
        <f t="shared" si="29"/>
        <v>0</v>
      </c>
      <c r="K134" s="628">
        <f t="shared" si="29"/>
        <v>0</v>
      </c>
      <c r="L134" s="628">
        <f t="shared" si="29"/>
        <v>0</v>
      </c>
      <c r="M134" s="628">
        <f t="shared" si="29"/>
        <v>0</v>
      </c>
      <c r="N134" s="628">
        <f t="shared" si="29"/>
        <v>0</v>
      </c>
      <c r="O134" s="629">
        <v>37681</v>
      </c>
      <c r="P134" s="629">
        <f t="shared" si="13"/>
        <v>0</v>
      </c>
      <c r="Q134" s="755"/>
      <c r="S134" s="1120"/>
    </row>
    <row r="135" spans="2:19" hidden="1" x14ac:dyDescent="0.25">
      <c r="B135" s="750"/>
      <c r="C135" s="840" t="e">
        <f>'FORMATO PROPUESTA ECONÓMICA'!#REF!</f>
        <v>#REF!</v>
      </c>
      <c r="D135" s="756"/>
      <c r="E135" s="620" t="e">
        <f>'6. Presup. Sector 5'!E135</f>
        <v>#REF!</v>
      </c>
      <c r="F135" s="633" t="s">
        <v>393</v>
      </c>
      <c r="G135" s="628" t="str">
        <f t="shared" ref="G135:N135" si="30">G53</f>
        <v>und</v>
      </c>
      <c r="H135" s="628">
        <f t="shared" si="30"/>
        <v>0</v>
      </c>
      <c r="I135" s="628">
        <f t="shared" si="30"/>
        <v>0</v>
      </c>
      <c r="J135" s="628">
        <f t="shared" si="30"/>
        <v>0</v>
      </c>
      <c r="K135" s="628">
        <f t="shared" si="30"/>
        <v>0</v>
      </c>
      <c r="L135" s="628">
        <f t="shared" si="30"/>
        <v>0</v>
      </c>
      <c r="M135" s="628">
        <f t="shared" si="30"/>
        <v>0</v>
      </c>
      <c r="N135" s="628">
        <f t="shared" si="30"/>
        <v>0</v>
      </c>
      <c r="O135" s="629">
        <v>39675</v>
      </c>
      <c r="P135" s="629">
        <f t="shared" si="13"/>
        <v>0</v>
      </c>
      <c r="Q135" s="755"/>
      <c r="S135" s="1120"/>
    </row>
    <row r="136" spans="2:19" hidden="1" x14ac:dyDescent="0.25">
      <c r="B136" s="750"/>
      <c r="C136" s="840" t="e">
        <f>'FORMATO PROPUESTA ECONÓMICA'!#REF!</f>
        <v>#REF!</v>
      </c>
      <c r="D136" s="756"/>
      <c r="E136" s="620" t="e">
        <f>'6. Presup. Sector 5'!E136</f>
        <v>#REF!</v>
      </c>
      <c r="F136" s="633" t="s">
        <v>394</v>
      </c>
      <c r="G136" s="628" t="str">
        <f t="shared" ref="G136:N136" si="31">G54</f>
        <v>und</v>
      </c>
      <c r="H136" s="628">
        <f t="shared" si="31"/>
        <v>0</v>
      </c>
      <c r="I136" s="628">
        <f t="shared" si="31"/>
        <v>0</v>
      </c>
      <c r="J136" s="628">
        <f t="shared" si="31"/>
        <v>0</v>
      </c>
      <c r="K136" s="628">
        <f t="shared" si="31"/>
        <v>0</v>
      </c>
      <c r="L136" s="628">
        <f t="shared" si="31"/>
        <v>0</v>
      </c>
      <c r="M136" s="628">
        <f t="shared" si="31"/>
        <v>0</v>
      </c>
      <c r="N136" s="628">
        <f t="shared" si="31"/>
        <v>0</v>
      </c>
      <c r="O136" s="629">
        <v>50625</v>
      </c>
      <c r="P136" s="629">
        <f t="shared" si="13"/>
        <v>0</v>
      </c>
      <c r="Q136" s="755"/>
      <c r="S136" s="1120"/>
    </row>
    <row r="137" spans="2:19" hidden="1" x14ac:dyDescent="0.25">
      <c r="B137" s="750"/>
      <c r="C137" s="840" t="e">
        <f>'FORMATO PROPUESTA ECONÓMICA'!#REF!</f>
        <v>#REF!</v>
      </c>
      <c r="D137" s="756"/>
      <c r="E137" s="620" t="e">
        <f>'6. Presup. Sector 5'!E137</f>
        <v>#REF!</v>
      </c>
      <c r="F137" s="633" t="s">
        <v>395</v>
      </c>
      <c r="G137" s="628" t="str">
        <f>G55</f>
        <v>und</v>
      </c>
      <c r="H137" s="628">
        <f t="shared" ref="H137:N137" si="32">H55</f>
        <v>0</v>
      </c>
      <c r="I137" s="628">
        <f t="shared" si="32"/>
        <v>0</v>
      </c>
      <c r="J137" s="628">
        <f t="shared" si="32"/>
        <v>0</v>
      </c>
      <c r="K137" s="628">
        <f t="shared" si="32"/>
        <v>0</v>
      </c>
      <c r="L137" s="628">
        <f t="shared" si="32"/>
        <v>0</v>
      </c>
      <c r="M137" s="628">
        <f t="shared" si="32"/>
        <v>0</v>
      </c>
      <c r="N137" s="628">
        <f t="shared" si="32"/>
        <v>0</v>
      </c>
      <c r="O137" s="629">
        <v>134189</v>
      </c>
      <c r="P137" s="629">
        <f t="shared" si="13"/>
        <v>0</v>
      </c>
      <c r="Q137" s="755"/>
      <c r="S137" s="1120"/>
    </row>
    <row r="138" spans="2:19" hidden="1" x14ac:dyDescent="0.25">
      <c r="B138" s="750"/>
      <c r="C138" s="840" t="e">
        <f>'FORMATO PROPUESTA ECONÓMICA'!#REF!</f>
        <v>#REF!</v>
      </c>
      <c r="D138" s="756"/>
      <c r="E138" s="620" t="e">
        <f>'6. Presup. Sector 5'!E138</f>
        <v>#REF!</v>
      </c>
      <c r="F138" s="633" t="s">
        <v>396</v>
      </c>
      <c r="G138" s="628" t="str">
        <f t="shared" ref="G138:N138" si="33">G56</f>
        <v>und</v>
      </c>
      <c r="H138" s="628">
        <f t="shared" si="33"/>
        <v>0</v>
      </c>
      <c r="I138" s="628">
        <f t="shared" si="33"/>
        <v>0</v>
      </c>
      <c r="J138" s="628">
        <f t="shared" si="33"/>
        <v>0</v>
      </c>
      <c r="K138" s="628">
        <f t="shared" si="33"/>
        <v>0</v>
      </c>
      <c r="L138" s="628">
        <f t="shared" si="33"/>
        <v>0</v>
      </c>
      <c r="M138" s="628">
        <f t="shared" si="33"/>
        <v>0</v>
      </c>
      <c r="N138" s="628">
        <f t="shared" si="33"/>
        <v>0</v>
      </c>
      <c r="O138" s="629">
        <v>134189</v>
      </c>
      <c r="P138" s="629">
        <f t="shared" si="13"/>
        <v>0</v>
      </c>
      <c r="Q138" s="755"/>
      <c r="S138" s="1120"/>
    </row>
    <row r="139" spans="2:19" hidden="1" x14ac:dyDescent="0.25">
      <c r="B139" s="750"/>
      <c r="C139" s="840" t="e">
        <f>'FORMATO PROPUESTA ECONÓMICA'!#REF!</f>
        <v>#REF!</v>
      </c>
      <c r="D139" s="756"/>
      <c r="E139" s="620" t="e">
        <f>'6. Presup. Sector 5'!E139</f>
        <v>#REF!</v>
      </c>
      <c r="F139" s="633" t="s">
        <v>418</v>
      </c>
      <c r="G139" s="628" t="str">
        <f t="shared" ref="G139:N139" si="34">G57</f>
        <v>und</v>
      </c>
      <c r="H139" s="628">
        <f t="shared" si="34"/>
        <v>0</v>
      </c>
      <c r="I139" s="628">
        <f t="shared" si="34"/>
        <v>0</v>
      </c>
      <c r="J139" s="628">
        <f t="shared" si="34"/>
        <v>0</v>
      </c>
      <c r="K139" s="628">
        <f t="shared" si="34"/>
        <v>0</v>
      </c>
      <c r="L139" s="628">
        <f t="shared" si="34"/>
        <v>0</v>
      </c>
      <c r="M139" s="628">
        <f t="shared" si="34"/>
        <v>0</v>
      </c>
      <c r="N139" s="628">
        <f t="shared" si="34"/>
        <v>0</v>
      </c>
      <c r="O139" s="629">
        <v>29369</v>
      </c>
      <c r="P139" s="629">
        <f t="shared" si="13"/>
        <v>0</v>
      </c>
      <c r="Q139" s="755"/>
      <c r="S139" s="1120"/>
    </row>
    <row r="140" spans="2:19" x14ac:dyDescent="0.25">
      <c r="B140" s="750"/>
      <c r="C140" s="840" t="e">
        <f>'FORMATO PROPUESTA ECONÓMICA'!#REF!</f>
        <v>#REF!</v>
      </c>
      <c r="D140" s="756"/>
      <c r="E140" s="620" t="e">
        <f>'6. Presup. Sector 5'!E140</f>
        <v>#REF!</v>
      </c>
      <c r="F140" s="633" t="s">
        <v>419</v>
      </c>
      <c r="G140" s="628" t="str">
        <f t="shared" ref="G140:N140" si="35">G58</f>
        <v>und</v>
      </c>
      <c r="H140" s="628">
        <f t="shared" si="35"/>
        <v>0</v>
      </c>
      <c r="I140" s="628">
        <f t="shared" si="35"/>
        <v>0</v>
      </c>
      <c r="J140" s="628">
        <f t="shared" si="35"/>
        <v>0</v>
      </c>
      <c r="K140" s="628">
        <f t="shared" si="35"/>
        <v>0</v>
      </c>
      <c r="L140" s="628">
        <f t="shared" si="35"/>
        <v>0</v>
      </c>
      <c r="M140" s="628">
        <f t="shared" si="35"/>
        <v>0</v>
      </c>
      <c r="N140" s="628">
        <f t="shared" si="35"/>
        <v>20</v>
      </c>
      <c r="O140" s="629">
        <v>19705</v>
      </c>
      <c r="P140" s="629">
        <f t="shared" si="13"/>
        <v>394100</v>
      </c>
      <c r="Q140" s="755"/>
      <c r="S140" s="1120"/>
    </row>
    <row r="141" spans="2:19" hidden="1" x14ac:dyDescent="0.25">
      <c r="B141" s="750"/>
      <c r="C141" s="840" t="e">
        <f>'FORMATO PROPUESTA ECONÓMICA'!#REF!</f>
        <v>#REF!</v>
      </c>
      <c r="D141" s="756"/>
      <c r="E141" s="620" t="e">
        <f>'6. Presup. Sector 5'!E141</f>
        <v>#REF!</v>
      </c>
      <c r="F141" s="633" t="s">
        <v>420</v>
      </c>
      <c r="G141" s="628" t="str">
        <f t="shared" ref="G141:N141" si="36">G59</f>
        <v>und</v>
      </c>
      <c r="H141" s="628">
        <f t="shared" si="36"/>
        <v>0</v>
      </c>
      <c r="I141" s="628">
        <f t="shared" si="36"/>
        <v>0</v>
      </c>
      <c r="J141" s="628">
        <f t="shared" si="36"/>
        <v>0</v>
      </c>
      <c r="K141" s="628">
        <f t="shared" si="36"/>
        <v>0</v>
      </c>
      <c r="L141" s="628">
        <f t="shared" si="36"/>
        <v>0</v>
      </c>
      <c r="M141" s="628">
        <f t="shared" si="36"/>
        <v>0</v>
      </c>
      <c r="N141" s="628">
        <f t="shared" si="36"/>
        <v>0</v>
      </c>
      <c r="O141" s="629">
        <v>24443</v>
      </c>
      <c r="P141" s="629">
        <f t="shared" si="13"/>
        <v>0</v>
      </c>
      <c r="Q141" s="755"/>
      <c r="S141" s="1120"/>
    </row>
    <row r="142" spans="2:19" hidden="1" x14ac:dyDescent="0.25">
      <c r="B142" s="750" t="str">
        <f>+'[3]4.Secundarias B_El Bosque'!C61</f>
        <v>Tubería PE Øint. 327.8mm</v>
      </c>
      <c r="C142" s="840" t="e">
        <f>'FORMATO PROPUESTA ECONÓMICA'!#REF!</f>
        <v>#REF!</v>
      </c>
      <c r="D142" s="756"/>
      <c r="E142" s="620" t="e">
        <f>'6. Presup. Sector 5'!E142</f>
        <v>#REF!</v>
      </c>
      <c r="F142" s="633" t="s">
        <v>421</v>
      </c>
      <c r="G142" s="628" t="str">
        <f t="shared" ref="G142:N142" si="37">G60</f>
        <v>und</v>
      </c>
      <c r="H142" s="628">
        <f t="shared" si="37"/>
        <v>0</v>
      </c>
      <c r="I142" s="628">
        <f t="shared" si="37"/>
        <v>0</v>
      </c>
      <c r="J142" s="628">
        <f t="shared" si="37"/>
        <v>0</v>
      </c>
      <c r="K142" s="628">
        <f t="shared" si="37"/>
        <v>0</v>
      </c>
      <c r="L142" s="628">
        <f t="shared" si="37"/>
        <v>0</v>
      </c>
      <c r="M142" s="628">
        <f t="shared" si="37"/>
        <v>0</v>
      </c>
      <c r="N142" s="628">
        <f t="shared" si="37"/>
        <v>0</v>
      </c>
      <c r="O142" s="629">
        <v>56681</v>
      </c>
      <c r="P142" s="629">
        <f t="shared" si="13"/>
        <v>0</v>
      </c>
      <c r="Q142" s="755"/>
      <c r="S142" s="1120"/>
    </row>
    <row r="143" spans="2:19" hidden="1" x14ac:dyDescent="0.25">
      <c r="B143" s="750" t="str">
        <f>+'[3]1. Colector Principal'!C68</f>
        <v>Tubería PE Øint. 415.6mm</v>
      </c>
      <c r="C143" s="840" t="e">
        <f>'FORMATO PROPUESTA ECONÓMICA'!#REF!</f>
        <v>#REF!</v>
      </c>
      <c r="D143" s="756"/>
      <c r="E143" s="620" t="e">
        <f>'6. Presup. Sector 5'!E143</f>
        <v>#REF!</v>
      </c>
      <c r="F143" s="633" t="s">
        <v>422</v>
      </c>
      <c r="G143" s="628" t="str">
        <f t="shared" ref="G143:N143" si="38">G61</f>
        <v>und</v>
      </c>
      <c r="H143" s="628">
        <f t="shared" si="38"/>
        <v>0</v>
      </c>
      <c r="I143" s="628">
        <f t="shared" si="38"/>
        <v>0</v>
      </c>
      <c r="J143" s="628">
        <f t="shared" si="38"/>
        <v>0</v>
      </c>
      <c r="K143" s="628">
        <f t="shared" si="38"/>
        <v>0</v>
      </c>
      <c r="L143" s="628">
        <f t="shared" si="38"/>
        <v>0</v>
      </c>
      <c r="M143" s="628">
        <f t="shared" si="38"/>
        <v>0</v>
      </c>
      <c r="N143" s="628">
        <f t="shared" si="38"/>
        <v>0</v>
      </c>
      <c r="O143" s="629">
        <v>110957</v>
      </c>
      <c r="P143" s="629">
        <f t="shared" si="13"/>
        <v>0</v>
      </c>
      <c r="Q143" s="755"/>
      <c r="S143" s="1120"/>
    </row>
    <row r="144" spans="2:19" ht="30" x14ac:dyDescent="0.25">
      <c r="B144" s="750" t="str">
        <f>+'[3]5.Domiciliarias Colector La Yuq'!C35</f>
        <v>Suministro, transporte y colocacion de kit domiciliario en PE, incluye empaque, codo de 45° y espigo, en los siguientes diametros:</v>
      </c>
      <c r="C144" s="890" t="e">
        <f>'FORMATO PROPUESTA ECONÓMICA'!#REF!</f>
        <v>#REF!</v>
      </c>
      <c r="D144" s="758"/>
      <c r="E144" s="732" t="e">
        <f>'6. Presup. Sector 5'!E144</f>
        <v>#REF!</v>
      </c>
      <c r="F144" s="43" t="s">
        <v>423</v>
      </c>
      <c r="G144" s="44"/>
      <c r="H144" s="39"/>
      <c r="I144" s="40"/>
      <c r="J144" s="41"/>
      <c r="K144" s="40"/>
      <c r="L144" s="40"/>
      <c r="M144" s="40"/>
      <c r="N144" s="39"/>
      <c r="O144" s="39"/>
      <c r="P144" s="39"/>
      <c r="Q144" s="755"/>
      <c r="S144" s="1120"/>
    </row>
    <row r="145" spans="2:19" x14ac:dyDescent="0.25">
      <c r="B145" s="750" t="str">
        <f>+'[3]6.Domiciliarias B_Obrero'!C33</f>
        <v>184.6 mm x 147.7 mm</v>
      </c>
      <c r="C145" s="840" t="e">
        <f>'FORMATO PROPUESTA ECONÓMICA'!#REF!</f>
        <v>#REF!</v>
      </c>
      <c r="D145" s="756"/>
      <c r="E145" s="634" t="e">
        <f>'6. Presup. Sector 5'!E145</f>
        <v>#REF!</v>
      </c>
      <c r="F145" s="633" t="s">
        <v>402</v>
      </c>
      <c r="G145" s="628" t="str">
        <f>G65</f>
        <v>ml</v>
      </c>
      <c r="H145" s="628">
        <f t="shared" ref="H145:N145" si="39">H65</f>
        <v>0</v>
      </c>
      <c r="I145" s="628">
        <f t="shared" si="39"/>
        <v>0</v>
      </c>
      <c r="J145" s="628">
        <f t="shared" si="39"/>
        <v>1.0000004147351824</v>
      </c>
      <c r="K145" s="628">
        <f t="shared" si="39"/>
        <v>0</v>
      </c>
      <c r="L145" s="628">
        <f t="shared" si="39"/>
        <v>0</v>
      </c>
      <c r="M145" s="628">
        <f t="shared" si="39"/>
        <v>0</v>
      </c>
      <c r="N145" s="628">
        <f t="shared" si="39"/>
        <v>1920</v>
      </c>
      <c r="O145" s="629">
        <v>2433.6799999999998</v>
      </c>
      <c r="P145" s="629">
        <f t="shared" ref="P145:P160" si="40">IF(ISERROR(+N145*O145),"",+N145*O145)</f>
        <v>4672665.5999999996</v>
      </c>
      <c r="Q145" s="755"/>
      <c r="S145" s="1120"/>
    </row>
    <row r="146" spans="2:19" hidden="1" x14ac:dyDescent="0.25">
      <c r="B146" s="750" t="str">
        <f>+'[3]5.Domiciliarias Colector La Yuq'!C36</f>
        <v>230.8 mm x 147.7 mm</v>
      </c>
      <c r="C146" s="840" t="e">
        <f>'FORMATO PROPUESTA ECONÓMICA'!#REF!</f>
        <v>#REF!</v>
      </c>
      <c r="D146" s="756"/>
      <c r="E146" s="634" t="e">
        <f>'6. Presup. Sector 5'!E146</f>
        <v>#REF!</v>
      </c>
      <c r="F146" s="633" t="s">
        <v>403</v>
      </c>
      <c r="G146" s="628" t="str">
        <f t="shared" ref="G146:N146" si="41">G66</f>
        <v>ml</v>
      </c>
      <c r="H146" s="628">
        <f t="shared" si="41"/>
        <v>0</v>
      </c>
      <c r="I146" s="628">
        <f t="shared" si="41"/>
        <v>0</v>
      </c>
      <c r="J146" s="628">
        <f t="shared" si="41"/>
        <v>0.99999988060184275</v>
      </c>
      <c r="K146" s="628">
        <f t="shared" si="41"/>
        <v>0</v>
      </c>
      <c r="L146" s="628">
        <f t="shared" si="41"/>
        <v>0</v>
      </c>
      <c r="M146" s="628">
        <f t="shared" si="41"/>
        <v>0</v>
      </c>
      <c r="N146" s="628">
        <f t="shared" si="41"/>
        <v>0</v>
      </c>
      <c r="O146" s="629">
        <v>3778.12</v>
      </c>
      <c r="P146" s="629">
        <f t="shared" si="40"/>
        <v>0</v>
      </c>
      <c r="Q146" s="755"/>
      <c r="S146" s="1120"/>
    </row>
    <row r="147" spans="2:19" hidden="1" x14ac:dyDescent="0.25">
      <c r="B147" s="750" t="str">
        <f>+'[3]5.Domiciliarias Colector La Yuq'!C37</f>
        <v>290.8 mm x 147.7 mm</v>
      </c>
      <c r="C147" s="840" t="e">
        <f>'FORMATO PROPUESTA ECONÓMICA'!#REF!</f>
        <v>#REF!</v>
      </c>
      <c r="D147" s="756"/>
      <c r="E147" s="634" t="e">
        <f>'6. Presup. Sector 5'!E147</f>
        <v>#REF!</v>
      </c>
      <c r="F147" s="633" t="s">
        <v>424</v>
      </c>
      <c r="G147" s="628" t="str">
        <f t="shared" ref="G147:N147" si="42">G67</f>
        <v>und</v>
      </c>
      <c r="H147" s="628">
        <f t="shared" si="42"/>
        <v>0</v>
      </c>
      <c r="I147" s="628">
        <f t="shared" si="42"/>
        <v>0</v>
      </c>
      <c r="J147" s="628">
        <f t="shared" si="42"/>
        <v>0</v>
      </c>
      <c r="K147" s="628">
        <f t="shared" si="42"/>
        <v>0</v>
      </c>
      <c r="L147" s="628">
        <f t="shared" si="42"/>
        <v>0</v>
      </c>
      <c r="M147" s="628">
        <f t="shared" si="42"/>
        <v>0</v>
      </c>
      <c r="N147" s="628">
        <f t="shared" si="42"/>
        <v>0</v>
      </c>
      <c r="O147" s="629">
        <v>14618</v>
      </c>
      <c r="P147" s="629">
        <f t="shared" si="40"/>
        <v>0</v>
      </c>
      <c r="Q147" s="755"/>
      <c r="S147" s="1120"/>
    </row>
    <row r="148" spans="2:19" hidden="1" x14ac:dyDescent="0.25">
      <c r="B148" s="750" t="str">
        <f>+'[3]8.Domiciliarias B_El Bosque'!C37</f>
        <v>327.8 mm x 147.7 mm</v>
      </c>
      <c r="C148" s="840" t="e">
        <f>'FORMATO PROPUESTA ECONÓMICA'!#REF!</f>
        <v>#REF!</v>
      </c>
      <c r="D148" s="756"/>
      <c r="E148" s="634" t="e">
        <f>'6. Presup. Sector 5'!E148</f>
        <v>#REF!</v>
      </c>
      <c r="F148" s="633" t="s">
        <v>426</v>
      </c>
      <c r="G148" s="628" t="str">
        <f t="shared" ref="G148:N148" si="43">G68</f>
        <v>und</v>
      </c>
      <c r="H148" s="628">
        <f t="shared" si="43"/>
        <v>0</v>
      </c>
      <c r="I148" s="628">
        <f t="shared" si="43"/>
        <v>0</v>
      </c>
      <c r="J148" s="628">
        <f t="shared" si="43"/>
        <v>0</v>
      </c>
      <c r="K148" s="628">
        <f t="shared" si="43"/>
        <v>0</v>
      </c>
      <c r="L148" s="628">
        <f t="shared" si="43"/>
        <v>0</v>
      </c>
      <c r="M148" s="628">
        <f t="shared" si="43"/>
        <v>0</v>
      </c>
      <c r="N148" s="628">
        <f t="shared" si="43"/>
        <v>0</v>
      </c>
      <c r="O148" s="629">
        <v>14618</v>
      </c>
      <c r="P148" s="629">
        <f t="shared" si="40"/>
        <v>0</v>
      </c>
      <c r="Q148" s="755"/>
      <c r="S148" s="1120"/>
    </row>
    <row r="149" spans="2:19" x14ac:dyDescent="0.25">
      <c r="B149" s="750"/>
      <c r="C149" s="840" t="e">
        <f>'FORMATO PROPUESTA ECONÓMICA'!#REF!</f>
        <v>#REF!</v>
      </c>
      <c r="D149" s="756"/>
      <c r="E149" s="634" t="e">
        <f>'6. Presup. Sector 5'!E149</f>
        <v>#REF!</v>
      </c>
      <c r="F149" s="633" t="s">
        <v>425</v>
      </c>
      <c r="G149" s="628" t="str">
        <f t="shared" ref="G149:N149" si="44">G69</f>
        <v>und</v>
      </c>
      <c r="H149" s="628">
        <f t="shared" si="44"/>
        <v>0</v>
      </c>
      <c r="I149" s="628">
        <f t="shared" si="44"/>
        <v>0</v>
      </c>
      <c r="J149" s="628">
        <f t="shared" si="44"/>
        <v>0</v>
      </c>
      <c r="K149" s="628">
        <f t="shared" si="44"/>
        <v>0</v>
      </c>
      <c r="L149" s="628">
        <f t="shared" si="44"/>
        <v>0</v>
      </c>
      <c r="M149" s="628">
        <f t="shared" si="44"/>
        <v>0</v>
      </c>
      <c r="N149" s="628">
        <f t="shared" si="44"/>
        <v>320</v>
      </c>
      <c r="O149" s="629">
        <v>14618</v>
      </c>
      <c r="P149" s="629">
        <f t="shared" si="40"/>
        <v>4677760</v>
      </c>
      <c r="Q149" s="755"/>
      <c r="S149" s="1120"/>
    </row>
    <row r="150" spans="2:19" hidden="1" x14ac:dyDescent="0.25">
      <c r="B150" s="750"/>
      <c r="C150" s="840" t="e">
        <f>'FORMATO PROPUESTA ECONÓMICA'!#REF!</f>
        <v>#REF!</v>
      </c>
      <c r="D150" s="756"/>
      <c r="E150" s="634" t="e">
        <f>'6. Presup. Sector 5'!E150</f>
        <v>#REF!</v>
      </c>
      <c r="F150" s="633" t="s">
        <v>427</v>
      </c>
      <c r="G150" s="628" t="str">
        <f t="shared" ref="G150:N150" si="45">G70</f>
        <v>und</v>
      </c>
      <c r="H150" s="628">
        <f t="shared" si="45"/>
        <v>0</v>
      </c>
      <c r="I150" s="628">
        <f t="shared" si="45"/>
        <v>0</v>
      </c>
      <c r="J150" s="628">
        <f t="shared" si="45"/>
        <v>0</v>
      </c>
      <c r="K150" s="628">
        <f t="shared" si="45"/>
        <v>0</v>
      </c>
      <c r="L150" s="628">
        <f t="shared" si="45"/>
        <v>0</v>
      </c>
      <c r="M150" s="628">
        <f t="shared" si="45"/>
        <v>0</v>
      </c>
      <c r="N150" s="628">
        <f t="shared" si="45"/>
        <v>0</v>
      </c>
      <c r="O150" s="629">
        <v>14618</v>
      </c>
      <c r="P150" s="629">
        <f t="shared" si="40"/>
        <v>0</v>
      </c>
      <c r="Q150" s="755"/>
      <c r="S150" s="1120"/>
    </row>
    <row r="151" spans="2:19" x14ac:dyDescent="0.25">
      <c r="B151" s="750"/>
      <c r="C151" s="840" t="e">
        <f>'FORMATO PROPUESTA ECONÓMICA'!#REF!</f>
        <v>#REF!</v>
      </c>
      <c r="D151" s="756"/>
      <c r="E151" s="634" t="e">
        <f>'6. Presup. Sector 5'!E151</f>
        <v>#REF!</v>
      </c>
      <c r="F151" s="633" t="s">
        <v>428</v>
      </c>
      <c r="G151" s="628" t="str">
        <f t="shared" ref="G151:N151" si="46">G71</f>
        <v>und</v>
      </c>
      <c r="H151" s="628">
        <f t="shared" si="46"/>
        <v>0</v>
      </c>
      <c r="I151" s="628">
        <f t="shared" si="46"/>
        <v>0</v>
      </c>
      <c r="J151" s="628">
        <f t="shared" si="46"/>
        <v>0</v>
      </c>
      <c r="K151" s="628">
        <f t="shared" si="46"/>
        <v>0</v>
      </c>
      <c r="L151" s="628">
        <f t="shared" si="46"/>
        <v>0</v>
      </c>
      <c r="M151" s="628">
        <f t="shared" si="46"/>
        <v>0</v>
      </c>
      <c r="N151" s="628">
        <f t="shared" si="46"/>
        <v>60</v>
      </c>
      <c r="O151" s="629">
        <v>14618</v>
      </c>
      <c r="P151" s="629">
        <f t="shared" si="40"/>
        <v>877080</v>
      </c>
      <c r="Q151" s="755"/>
      <c r="S151" s="1120"/>
    </row>
    <row r="152" spans="2:19" x14ac:dyDescent="0.25">
      <c r="B152" s="750"/>
      <c r="C152" s="840" t="e">
        <f>'FORMATO PROPUESTA ECONÓMICA'!#REF!</f>
        <v>#REF!</v>
      </c>
      <c r="D152" s="756"/>
      <c r="E152" s="634" t="e">
        <f>'6. Presup. Sector 5'!E152</f>
        <v>#REF!</v>
      </c>
      <c r="F152" s="633" t="s">
        <v>477</v>
      </c>
      <c r="G152" s="628" t="str">
        <f t="shared" ref="G152:M152" si="47">G72</f>
        <v>und</v>
      </c>
      <c r="H152" s="628">
        <f t="shared" si="47"/>
        <v>0</v>
      </c>
      <c r="I152" s="628">
        <f t="shared" si="47"/>
        <v>0</v>
      </c>
      <c r="J152" s="628">
        <f t="shared" si="47"/>
        <v>0</v>
      </c>
      <c r="K152" s="628">
        <f t="shared" si="47"/>
        <v>0</v>
      </c>
      <c r="L152" s="628">
        <f t="shared" si="47"/>
        <v>0</v>
      </c>
      <c r="M152" s="628">
        <f t="shared" si="47"/>
        <v>0</v>
      </c>
      <c r="N152" s="628">
        <f>N72/2</f>
        <v>160</v>
      </c>
      <c r="O152" s="629">
        <v>3996</v>
      </c>
      <c r="P152" s="629">
        <f t="shared" si="40"/>
        <v>639360</v>
      </c>
      <c r="Q152" s="755"/>
      <c r="S152" s="1120"/>
    </row>
    <row r="153" spans="2:19" hidden="1" x14ac:dyDescent="0.25">
      <c r="B153" s="750"/>
      <c r="C153" s="840" t="e">
        <f>'FORMATO PROPUESTA ECONÓMICA'!#REF!</f>
        <v>#REF!</v>
      </c>
      <c r="D153" s="756"/>
      <c r="E153" s="634">
        <f>'6. Presup. Sector 5'!E153</f>
        <v>14.9</v>
      </c>
      <c r="F153" s="633" t="s">
        <v>342</v>
      </c>
      <c r="G153" s="628" t="str">
        <f t="shared" ref="G153" si="48">G73</f>
        <v>und</v>
      </c>
      <c r="H153" s="628">
        <f t="shared" ref="H153:N153" si="49">H73</f>
        <v>0</v>
      </c>
      <c r="I153" s="628">
        <f t="shared" si="49"/>
        <v>0</v>
      </c>
      <c r="J153" s="628">
        <f t="shared" si="49"/>
        <v>1</v>
      </c>
      <c r="K153" s="628">
        <f t="shared" si="49"/>
        <v>0</v>
      </c>
      <c r="L153" s="628">
        <f t="shared" si="49"/>
        <v>0</v>
      </c>
      <c r="M153" s="628">
        <f t="shared" si="49"/>
        <v>0</v>
      </c>
      <c r="N153" s="628">
        <f t="shared" si="49"/>
        <v>0</v>
      </c>
      <c r="O153" s="629">
        <v>5316</v>
      </c>
      <c r="P153" s="629">
        <f t="shared" si="40"/>
        <v>0</v>
      </c>
      <c r="Q153" s="755"/>
      <c r="S153" s="1120"/>
    </row>
    <row r="154" spans="2:19" x14ac:dyDescent="0.25">
      <c r="B154" s="750"/>
      <c r="C154" s="840">
        <v>708</v>
      </c>
      <c r="D154" s="756"/>
      <c r="E154" s="634" t="e">
        <f>'6. Presup. Sector 5'!E154</f>
        <v>#REF!</v>
      </c>
      <c r="F154" s="633" t="s">
        <v>476</v>
      </c>
      <c r="G154" s="628" t="str">
        <f t="shared" ref="G154" si="50">G74</f>
        <v>und</v>
      </c>
      <c r="H154" s="628"/>
      <c r="I154" s="628"/>
      <c r="J154" s="628"/>
      <c r="K154" s="628"/>
      <c r="L154" s="628"/>
      <c r="M154" s="628"/>
      <c r="N154" s="628">
        <f>N72/2</f>
        <v>160</v>
      </c>
      <c r="O154" s="629">
        <v>3996</v>
      </c>
      <c r="P154" s="629">
        <f t="shared" ref="P154" si="51">IF(ISERROR(+N154*O154),"",+N154*O154)</f>
        <v>639360</v>
      </c>
      <c r="Q154" s="755"/>
      <c r="S154" s="1120"/>
    </row>
    <row r="155" spans="2:19" x14ac:dyDescent="0.25">
      <c r="B155" s="750"/>
      <c r="C155" s="840" t="e">
        <f>'FORMATO PROPUESTA ECONÓMICA'!#REF!</f>
        <v>#REF!</v>
      </c>
      <c r="D155" s="756"/>
      <c r="E155" s="634" t="e">
        <f>'6. Presup. Sector 5'!E155</f>
        <v>#REF!</v>
      </c>
      <c r="F155" s="633" t="s">
        <v>344</v>
      </c>
      <c r="G155" s="628" t="str">
        <f t="shared" ref="G155:N155" si="52">G74</f>
        <v>und</v>
      </c>
      <c r="H155" s="628">
        <f t="shared" si="52"/>
        <v>0</v>
      </c>
      <c r="I155" s="628">
        <f t="shared" si="52"/>
        <v>0</v>
      </c>
      <c r="J155" s="628">
        <f t="shared" si="52"/>
        <v>1.0000039227956519</v>
      </c>
      <c r="K155" s="628">
        <f t="shared" si="52"/>
        <v>0</v>
      </c>
      <c r="L155" s="628">
        <f t="shared" si="52"/>
        <v>0</v>
      </c>
      <c r="M155" s="628">
        <f t="shared" si="52"/>
        <v>0</v>
      </c>
      <c r="N155" s="628">
        <f t="shared" si="52"/>
        <v>50</v>
      </c>
      <c r="O155" s="629">
        <v>3996</v>
      </c>
      <c r="P155" s="629">
        <f t="shared" si="40"/>
        <v>199800</v>
      </c>
      <c r="Q155" s="755"/>
      <c r="S155" s="1120"/>
    </row>
    <row r="156" spans="2:19" x14ac:dyDescent="0.25">
      <c r="B156" s="750"/>
      <c r="C156" s="840" t="e">
        <f>'FORMATO PROPUESTA ECONÓMICA'!#REF!</f>
        <v>#REF!</v>
      </c>
      <c r="D156" s="756"/>
      <c r="E156" s="620" t="e">
        <f>'6. Presup. Sector 5'!E156</f>
        <v>#REF!</v>
      </c>
      <c r="F156" s="633" t="s">
        <v>345</v>
      </c>
      <c r="G156" s="628" t="str">
        <f t="shared" ref="G156:N156" si="53">G75</f>
        <v>und</v>
      </c>
      <c r="H156" s="628">
        <f t="shared" si="53"/>
        <v>0</v>
      </c>
      <c r="I156" s="628">
        <f t="shared" si="53"/>
        <v>0</v>
      </c>
      <c r="J156" s="628">
        <f t="shared" si="53"/>
        <v>0.99999968892509594</v>
      </c>
      <c r="K156" s="628">
        <f t="shared" si="53"/>
        <v>0</v>
      </c>
      <c r="L156" s="628">
        <f t="shared" si="53"/>
        <v>0</v>
      </c>
      <c r="M156" s="628">
        <f t="shared" si="53"/>
        <v>0</v>
      </c>
      <c r="N156" s="628">
        <f t="shared" si="53"/>
        <v>228</v>
      </c>
      <c r="O156" s="629">
        <v>15225</v>
      </c>
      <c r="P156" s="629">
        <f t="shared" si="40"/>
        <v>3471300</v>
      </c>
      <c r="Q156" s="755"/>
      <c r="S156" s="1120"/>
    </row>
    <row r="157" spans="2:19" ht="75" hidden="1" x14ac:dyDescent="0.25">
      <c r="B157" s="750"/>
      <c r="C157" s="840" t="e">
        <f>'FORMATO PROPUESTA ECONÓMICA'!#REF!</f>
        <v>#REF!</v>
      </c>
      <c r="D157" s="756"/>
      <c r="E157" s="620" t="e">
        <f>'6. Presup. Sector 5'!E157</f>
        <v>#REF!</v>
      </c>
      <c r="F157" s="633" t="s">
        <v>353</v>
      </c>
      <c r="G157" s="628" t="str">
        <f t="shared" ref="G157:N157" si="54">G76</f>
        <v>und</v>
      </c>
      <c r="H157" s="628">
        <f t="shared" si="54"/>
        <v>0</v>
      </c>
      <c r="I157" s="628">
        <f t="shared" si="54"/>
        <v>0</v>
      </c>
      <c r="J157" s="628">
        <f t="shared" si="54"/>
        <v>1</v>
      </c>
      <c r="K157" s="628">
        <f t="shared" si="54"/>
        <v>0</v>
      </c>
      <c r="L157" s="628">
        <f t="shared" si="54"/>
        <v>0</v>
      </c>
      <c r="M157" s="628">
        <f t="shared" si="54"/>
        <v>0</v>
      </c>
      <c r="N157" s="628">
        <f t="shared" si="54"/>
        <v>228</v>
      </c>
      <c r="O157" s="623"/>
      <c r="P157" s="623">
        <f t="shared" si="40"/>
        <v>0</v>
      </c>
      <c r="Q157" s="755"/>
      <c r="S157" s="1120"/>
    </row>
    <row r="158" spans="2:19" x14ac:dyDescent="0.25">
      <c r="B158" s="750"/>
      <c r="C158" s="840" t="e">
        <f>'FORMATO PROPUESTA ECONÓMICA'!#REF!</f>
        <v>#REF!</v>
      </c>
      <c r="D158" s="756"/>
      <c r="E158" s="620" t="e">
        <f>'6. Presup. Sector 5'!E158</f>
        <v>#REF!</v>
      </c>
      <c r="F158" s="633" t="s">
        <v>346</v>
      </c>
      <c r="G158" s="628" t="str">
        <f>G77</f>
        <v>und</v>
      </c>
      <c r="H158" s="628">
        <f t="shared" ref="H158:N158" si="55">H77</f>
        <v>0</v>
      </c>
      <c r="I158" s="628">
        <f t="shared" si="55"/>
        <v>0</v>
      </c>
      <c r="J158" s="628">
        <f t="shared" si="55"/>
        <v>1</v>
      </c>
      <c r="K158" s="628">
        <f t="shared" si="55"/>
        <v>0</v>
      </c>
      <c r="L158" s="628">
        <f t="shared" si="55"/>
        <v>0</v>
      </c>
      <c r="M158" s="628">
        <f t="shared" si="55"/>
        <v>0</v>
      </c>
      <c r="N158" s="628">
        <f t="shared" si="55"/>
        <v>228</v>
      </c>
      <c r="O158" s="629">
        <v>7350</v>
      </c>
      <c r="P158" s="629">
        <f t="shared" si="40"/>
        <v>1675800</v>
      </c>
      <c r="Q158" s="755"/>
      <c r="S158" s="1120"/>
    </row>
    <row r="159" spans="2:19" x14ac:dyDescent="0.25">
      <c r="B159" s="750" t="str">
        <f>+'[3]5.Domiciliarias Colector La Yuq'!C38</f>
        <v>415.6 mm x 147.7 mm</v>
      </c>
      <c r="C159" s="840" t="e">
        <f>'FORMATO PROPUESTA ECONÓMICA'!#REF!</f>
        <v>#REF!</v>
      </c>
      <c r="D159" s="756"/>
      <c r="E159" s="620" t="e">
        <f>'6. Presup. Sector 5'!E159</f>
        <v>#REF!</v>
      </c>
      <c r="F159" s="633" t="s">
        <v>347</v>
      </c>
      <c r="G159" s="628" t="str">
        <f t="shared" ref="G159:N159" si="56">G78</f>
        <v>und</v>
      </c>
      <c r="H159" s="628">
        <f t="shared" si="56"/>
        <v>0</v>
      </c>
      <c r="I159" s="628">
        <f t="shared" si="56"/>
        <v>0</v>
      </c>
      <c r="J159" s="628">
        <f t="shared" si="56"/>
        <v>0.99995051233937871</v>
      </c>
      <c r="K159" s="628">
        <f t="shared" si="56"/>
        <v>0</v>
      </c>
      <c r="L159" s="628">
        <f t="shared" si="56"/>
        <v>0</v>
      </c>
      <c r="M159" s="628">
        <f t="shared" si="56"/>
        <v>0</v>
      </c>
      <c r="N159" s="628">
        <f t="shared" si="56"/>
        <v>320</v>
      </c>
      <c r="O159" s="629">
        <v>394</v>
      </c>
      <c r="P159" s="629">
        <f t="shared" si="40"/>
        <v>126080</v>
      </c>
      <c r="Q159" s="755"/>
      <c r="S159" s="1120"/>
    </row>
    <row r="160" spans="2:19" x14ac:dyDescent="0.25">
      <c r="B160" s="750" t="str">
        <f>+'[3]5.Domiciliarias Colector La Yuq'!C39</f>
        <v>461.8 mm x 147.7 mm</v>
      </c>
      <c r="C160" s="840" t="e">
        <f>'FORMATO PROPUESTA ECONÓMICA'!#REF!</f>
        <v>#REF!</v>
      </c>
      <c r="D160" s="756"/>
      <c r="E160" s="620" t="e">
        <f>'6. Presup. Sector 5'!E160</f>
        <v>#REF!</v>
      </c>
      <c r="F160" s="633" t="s">
        <v>348</v>
      </c>
      <c r="G160" s="628" t="str">
        <f t="shared" ref="G160:N160" si="57">G79</f>
        <v>und</v>
      </c>
      <c r="H160" s="628">
        <f t="shared" si="57"/>
        <v>0</v>
      </c>
      <c r="I160" s="628">
        <f t="shared" si="57"/>
        <v>0</v>
      </c>
      <c r="J160" s="628">
        <f t="shared" si="57"/>
        <v>1</v>
      </c>
      <c r="K160" s="628">
        <f t="shared" si="57"/>
        <v>0</v>
      </c>
      <c r="L160" s="628">
        <f t="shared" si="57"/>
        <v>0</v>
      </c>
      <c r="M160" s="628">
        <f t="shared" si="57"/>
        <v>0</v>
      </c>
      <c r="N160" s="628">
        <f t="shared" si="57"/>
        <v>228</v>
      </c>
      <c r="O160" s="629">
        <v>616</v>
      </c>
      <c r="P160" s="629">
        <f t="shared" si="40"/>
        <v>140448</v>
      </c>
      <c r="Q160" s="755"/>
      <c r="S160" s="1120"/>
    </row>
    <row r="161" spans="3:19" x14ac:dyDescent="0.25">
      <c r="D161" s="844"/>
      <c r="E161" s="845"/>
      <c r="F161" s="845"/>
      <c r="G161" s="628"/>
      <c r="H161" s="628"/>
      <c r="I161" s="628"/>
      <c r="J161" s="628"/>
      <c r="K161" s="628"/>
      <c r="L161" s="628"/>
      <c r="M161" s="628"/>
      <c r="N161" s="628"/>
      <c r="O161" s="845"/>
      <c r="P161" s="845"/>
    </row>
    <row r="162" spans="3:19" ht="15.75" thickBot="1" x14ac:dyDescent="0.3">
      <c r="D162" s="781"/>
      <c r="G162" s="745"/>
      <c r="H162" s="745"/>
      <c r="I162" s="745"/>
      <c r="J162" s="745"/>
      <c r="K162" s="7" t="str">
        <f>+O162</f>
        <v>OBRA CIVIL</v>
      </c>
      <c r="L162" s="7" t="str">
        <f>+P162</f>
        <v>SUMINISTRO</v>
      </c>
      <c r="M162" s="745"/>
      <c r="N162" s="745"/>
      <c r="O162" s="7" t="str">
        <f>+F9</f>
        <v>OBRA CIVIL</v>
      </c>
      <c r="P162" s="7" t="str">
        <f>+F115</f>
        <v>SUMINISTRO</v>
      </c>
    </row>
    <row r="163" spans="3:19" x14ac:dyDescent="0.25">
      <c r="C163" s="782"/>
      <c r="D163" s="783"/>
      <c r="E163" s="783"/>
      <c r="F163" s="783" t="s">
        <v>19</v>
      </c>
      <c r="G163" s="783"/>
      <c r="H163" s="783"/>
      <c r="I163" s="783"/>
      <c r="J163" s="783"/>
      <c r="K163" s="784">
        <f>+SUM(L11:L114)</f>
        <v>0</v>
      </c>
      <c r="L163" s="784"/>
      <c r="M163" s="783"/>
      <c r="N163" s="783"/>
      <c r="O163" s="784">
        <f>+SUM(P11:P114)</f>
        <v>0</v>
      </c>
      <c r="P163" s="784"/>
    </row>
    <row r="164" spans="3:19" x14ac:dyDescent="0.25">
      <c r="C164" s="785"/>
      <c r="D164" s="786"/>
      <c r="E164" s="786"/>
      <c r="F164" s="786" t="s">
        <v>20</v>
      </c>
      <c r="G164" s="786"/>
      <c r="H164" s="786"/>
      <c r="I164" s="786"/>
      <c r="J164" s="786"/>
      <c r="K164" s="787"/>
      <c r="L164" s="787">
        <f>+SUM(L117:L160)</f>
        <v>0</v>
      </c>
      <c r="M164" s="786"/>
      <c r="N164" s="786"/>
      <c r="O164" s="787"/>
      <c r="P164" s="787">
        <f>+SUM(P117:P160)*1.16</f>
        <v>108077716.89599998</v>
      </c>
    </row>
    <row r="165" spans="3:19" x14ac:dyDescent="0.25">
      <c r="C165" s="785"/>
      <c r="D165" s="786"/>
      <c r="E165" s="786"/>
      <c r="F165" s="786" t="s">
        <v>21</v>
      </c>
      <c r="G165" s="786"/>
      <c r="H165" s="786"/>
      <c r="I165" s="786"/>
      <c r="J165" s="786"/>
      <c r="K165" s="788">
        <f>+K163</f>
        <v>0</v>
      </c>
      <c r="L165" s="788">
        <f>+L164</f>
        <v>0</v>
      </c>
      <c r="M165" s="786"/>
      <c r="N165" s="786"/>
      <c r="O165" s="788">
        <f>+O163</f>
        <v>0</v>
      </c>
      <c r="P165" s="788">
        <f>+P164</f>
        <v>108077716.89599998</v>
      </c>
    </row>
    <row r="166" spans="3:19" x14ac:dyDescent="0.25">
      <c r="C166" s="789"/>
      <c r="D166" s="790"/>
      <c r="E166" s="790"/>
      <c r="F166" s="791" t="s">
        <v>22</v>
      </c>
      <c r="G166" s="790"/>
      <c r="H166" s="790"/>
      <c r="I166" s="790"/>
      <c r="J166" s="790"/>
      <c r="K166" s="1427">
        <f>+L165+K165</f>
        <v>0</v>
      </c>
      <c r="L166" s="1427"/>
      <c r="M166" s="790"/>
      <c r="N166" s="790"/>
      <c r="O166" s="1427">
        <f>+P165+O165</f>
        <v>108077716.89599998</v>
      </c>
      <c r="P166" s="1427"/>
    </row>
    <row r="167" spans="3:19" x14ac:dyDescent="0.25">
      <c r="C167" s="792"/>
      <c r="D167" s="793"/>
      <c r="E167" s="793"/>
      <c r="F167" s="786" t="s">
        <v>337</v>
      </c>
      <c r="G167" s="793"/>
      <c r="H167" s="793"/>
      <c r="I167" s="793"/>
      <c r="J167" s="793"/>
      <c r="K167" s="787" t="e">
        <f>+K165*$N167</f>
        <v>#DIV/0!</v>
      </c>
      <c r="L167" s="787"/>
      <c r="M167" s="793"/>
      <c r="N167" s="793" t="e">
        <f>ROUND(AU!G70,2)</f>
        <v>#DIV/0!</v>
      </c>
      <c r="O167" s="787" t="e">
        <f>+O165*$N167</f>
        <v>#DIV/0!</v>
      </c>
      <c r="P167" s="787"/>
    </row>
    <row r="168" spans="3:19" x14ac:dyDescent="0.25">
      <c r="C168" s="792"/>
      <c r="D168" s="793"/>
      <c r="E168" s="793"/>
      <c r="F168" s="786" t="s">
        <v>338</v>
      </c>
      <c r="G168" s="793"/>
      <c r="H168" s="793"/>
      <c r="I168" s="793"/>
      <c r="J168" s="793"/>
      <c r="K168" s="787"/>
      <c r="L168" s="787">
        <f>+L165*$N168</f>
        <v>0</v>
      </c>
      <c r="M168" s="793"/>
      <c r="N168" s="793">
        <v>0.08</v>
      </c>
      <c r="O168" s="787"/>
      <c r="P168" s="787">
        <f>+P165*$N168</f>
        <v>8646217.3516799994</v>
      </c>
    </row>
    <row r="169" spans="3:19" x14ac:dyDescent="0.25">
      <c r="C169" s="789"/>
      <c r="D169" s="790"/>
      <c r="E169" s="790"/>
      <c r="F169" s="791" t="s">
        <v>23</v>
      </c>
      <c r="G169" s="790"/>
      <c r="H169" s="790"/>
      <c r="I169" s="790"/>
      <c r="J169" s="790"/>
      <c r="K169" s="1427" t="e">
        <f>+K167+L168</f>
        <v>#DIV/0!</v>
      </c>
      <c r="L169" s="1427"/>
      <c r="M169" s="790"/>
      <c r="N169" s="790"/>
      <c r="O169" s="1427" t="e">
        <f>+O167+P168</f>
        <v>#DIV/0!</v>
      </c>
      <c r="P169" s="1427"/>
      <c r="S169" s="755"/>
    </row>
    <row r="170" spans="3:19" x14ac:dyDescent="0.25">
      <c r="C170" s="792"/>
      <c r="D170" s="793"/>
      <c r="E170" s="793"/>
      <c r="F170" s="786" t="s">
        <v>24</v>
      </c>
      <c r="G170" s="793"/>
      <c r="H170" s="793"/>
      <c r="I170" s="793"/>
      <c r="J170" s="793"/>
      <c r="K170" s="788" t="e">
        <f>+K167+K165</f>
        <v>#DIV/0!</v>
      </c>
      <c r="L170" s="788">
        <f>+L168+L165</f>
        <v>0</v>
      </c>
      <c r="M170" s="793"/>
      <c r="N170" s="793"/>
      <c r="O170" s="788" t="e">
        <f>+O167+O165</f>
        <v>#DIV/0!</v>
      </c>
      <c r="P170" s="788">
        <f>+P168+P165</f>
        <v>116723934.24767998</v>
      </c>
    </row>
    <row r="171" spans="3:19" x14ac:dyDescent="0.25">
      <c r="C171" s="789"/>
      <c r="D171" s="790"/>
      <c r="E171" s="790"/>
      <c r="F171" s="791" t="s">
        <v>25</v>
      </c>
      <c r="G171" s="790"/>
      <c r="H171" s="790"/>
      <c r="I171" s="790"/>
      <c r="J171" s="790"/>
      <c r="K171" s="1427" t="e">
        <f>+K170+L170</f>
        <v>#DIV/0!</v>
      </c>
      <c r="L171" s="1427"/>
      <c r="M171" s="790"/>
      <c r="N171" s="790"/>
      <c r="O171" s="1427" t="e">
        <f>+O170+P170</f>
        <v>#DIV/0!</v>
      </c>
      <c r="P171" s="1427"/>
    </row>
    <row r="172" spans="3:19" x14ac:dyDescent="0.25">
      <c r="C172" s="792"/>
      <c r="D172" s="793"/>
      <c r="E172" s="793"/>
      <c r="F172" s="786" t="s">
        <v>40</v>
      </c>
      <c r="G172" s="793"/>
      <c r="H172" s="793"/>
      <c r="I172" s="793"/>
      <c r="J172" s="793"/>
      <c r="K172" s="787" t="e">
        <f>+K170*$N172</f>
        <v>#DIV/0!</v>
      </c>
      <c r="L172" s="787"/>
      <c r="M172" s="793"/>
      <c r="N172" s="793">
        <v>0.08</v>
      </c>
      <c r="O172" s="787" t="e">
        <f>+O170*$N172</f>
        <v>#DIV/0!</v>
      </c>
      <c r="P172" s="787"/>
    </row>
    <row r="173" spans="3:19" x14ac:dyDescent="0.25">
      <c r="C173" s="792"/>
      <c r="D173" s="793"/>
      <c r="E173" s="793"/>
      <c r="F173" s="786" t="s">
        <v>41</v>
      </c>
      <c r="G173" s="793"/>
      <c r="H173" s="793"/>
      <c r="I173" s="793"/>
      <c r="J173" s="793"/>
      <c r="K173" s="787"/>
      <c r="L173" s="787">
        <f>+L170*$N173</f>
        <v>0</v>
      </c>
      <c r="M173" s="793"/>
      <c r="N173" s="793">
        <v>0.02</v>
      </c>
      <c r="O173" s="787"/>
      <c r="P173" s="787">
        <f>+P170*$N173</f>
        <v>2334478.6849535997</v>
      </c>
    </row>
    <row r="174" spans="3:19" x14ac:dyDescent="0.25">
      <c r="C174" s="789"/>
      <c r="D174" s="790"/>
      <c r="E174" s="790"/>
      <c r="F174" s="791" t="s">
        <v>26</v>
      </c>
      <c r="G174" s="790"/>
      <c r="H174" s="790"/>
      <c r="I174" s="790"/>
      <c r="J174" s="790"/>
      <c r="K174" s="1427" t="e">
        <f>+L173+K172</f>
        <v>#DIV/0!</v>
      </c>
      <c r="L174" s="1427"/>
      <c r="M174" s="790"/>
      <c r="N174" s="790"/>
      <c r="O174" s="1427" t="e">
        <f>+P173+O172</f>
        <v>#DIV/0!</v>
      </c>
      <c r="P174" s="1427"/>
    </row>
    <row r="175" spans="3:19" x14ac:dyDescent="0.25">
      <c r="C175" s="792"/>
      <c r="D175" s="793"/>
      <c r="E175" s="793"/>
      <c r="F175" s="794"/>
      <c r="G175" s="793"/>
      <c r="H175" s="793"/>
      <c r="I175" s="793"/>
      <c r="J175" s="793"/>
      <c r="K175" s="788" t="e">
        <f>+K172+K170</f>
        <v>#DIV/0!</v>
      </c>
      <c r="L175" s="788">
        <f>+L173+L170</f>
        <v>0</v>
      </c>
      <c r="M175" s="793"/>
      <c r="N175" s="793"/>
      <c r="O175" s="788" t="e">
        <f>+O172+O170</f>
        <v>#DIV/0!</v>
      </c>
      <c r="P175" s="788">
        <f>+P173+P170</f>
        <v>119058412.93263358</v>
      </c>
    </row>
    <row r="176" spans="3:19" x14ac:dyDescent="0.25">
      <c r="C176" s="789"/>
      <c r="D176" s="790"/>
      <c r="E176" s="790"/>
      <c r="F176" s="795" t="s">
        <v>27</v>
      </c>
      <c r="G176" s="790"/>
      <c r="H176" s="790"/>
      <c r="I176" s="790"/>
      <c r="J176" s="790"/>
      <c r="K176" s="1427" t="e">
        <f>+K175+L175</f>
        <v>#DIV/0!</v>
      </c>
      <c r="L176" s="1427"/>
      <c r="M176" s="790"/>
      <c r="N176" s="790"/>
      <c r="O176" s="1427" t="e">
        <f>+O175+P175</f>
        <v>#DIV/0!</v>
      </c>
      <c r="P176" s="1427"/>
    </row>
    <row r="177" spans="3:16" x14ac:dyDescent="0.25">
      <c r="C177" s="792"/>
      <c r="D177" s="793"/>
      <c r="E177" s="793"/>
      <c r="F177" s="786" t="s">
        <v>28</v>
      </c>
      <c r="G177" s="793"/>
      <c r="H177" s="793"/>
      <c r="I177" s="793"/>
      <c r="J177" s="793"/>
      <c r="K177" s="787" t="e">
        <f>+K175*$N177/(1-$N177)</f>
        <v>#DIV/0!</v>
      </c>
      <c r="L177" s="787"/>
      <c r="M177" s="793"/>
      <c r="N177" s="793">
        <v>0.02</v>
      </c>
      <c r="O177" s="787" t="e">
        <f>+O175*$N177/(1-$N177)</f>
        <v>#DIV/0!</v>
      </c>
      <c r="P177" s="787"/>
    </row>
    <row r="178" spans="3:16" x14ac:dyDescent="0.25">
      <c r="C178" s="792"/>
      <c r="D178" s="793"/>
      <c r="E178" s="793"/>
      <c r="F178" s="786"/>
      <c r="G178" s="793"/>
      <c r="H178" s="793"/>
      <c r="I178" s="793"/>
      <c r="J178" s="793"/>
      <c r="K178" s="787"/>
      <c r="L178" s="787">
        <f>+L175*$N178/(1-$N178)</f>
        <v>0</v>
      </c>
      <c r="M178" s="793"/>
      <c r="N178" s="793">
        <v>0.02</v>
      </c>
      <c r="O178" s="787"/>
      <c r="P178" s="787">
        <f>+P175*$N178/(1-$N178)</f>
        <v>2429763.5292374203</v>
      </c>
    </row>
    <row r="179" spans="3:16" x14ac:dyDescent="0.25">
      <c r="C179" s="789"/>
      <c r="D179" s="790"/>
      <c r="E179" s="790"/>
      <c r="F179" s="791" t="s">
        <v>29</v>
      </c>
      <c r="G179" s="790"/>
      <c r="H179" s="790"/>
      <c r="I179" s="790"/>
      <c r="J179" s="790"/>
      <c r="K179" s="1427" t="e">
        <f>+K177+L178</f>
        <v>#DIV/0!</v>
      </c>
      <c r="L179" s="1427"/>
      <c r="M179" s="790"/>
      <c r="N179" s="790"/>
      <c r="O179" s="1427" t="e">
        <f>+O177+P178</f>
        <v>#DIV/0!</v>
      </c>
      <c r="P179" s="1427"/>
    </row>
    <row r="180" spans="3:16" x14ac:dyDescent="0.25">
      <c r="C180" s="792"/>
      <c r="D180" s="793"/>
      <c r="E180" s="793"/>
      <c r="F180" s="786" t="s">
        <v>30</v>
      </c>
      <c r="G180" s="793"/>
      <c r="H180" s="793"/>
      <c r="I180" s="793"/>
      <c r="J180" s="793"/>
      <c r="K180" s="788" t="e">
        <f>+K177+K175</f>
        <v>#DIV/0!</v>
      </c>
      <c r="L180" s="788">
        <f>+L178+L175</f>
        <v>0</v>
      </c>
      <c r="M180" s="793"/>
      <c r="N180" s="793"/>
      <c r="O180" s="788" t="e">
        <f>+O177+O175</f>
        <v>#DIV/0!</v>
      </c>
      <c r="P180" s="788">
        <f>+P178+P175</f>
        <v>121488176.461871</v>
      </c>
    </row>
    <row r="181" spans="3:16" ht="15.75" thickBot="1" x14ac:dyDescent="0.3">
      <c r="C181" s="796"/>
      <c r="D181" s="797"/>
      <c r="E181" s="797"/>
      <c r="F181" s="798" t="s">
        <v>31</v>
      </c>
      <c r="G181" s="797"/>
      <c r="H181" s="797"/>
      <c r="I181" s="797"/>
      <c r="J181" s="797"/>
      <c r="K181" s="1429" t="e">
        <f>+K180+L180</f>
        <v>#DIV/0!</v>
      </c>
      <c r="L181" s="1429"/>
      <c r="M181" s="797"/>
      <c r="N181" s="797"/>
      <c r="O181" s="1429" t="e">
        <f>+O180+P180</f>
        <v>#DIV/0!</v>
      </c>
      <c r="P181" s="1429"/>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1"/>
  <sheetViews>
    <sheetView topLeftCell="E1" workbookViewId="0">
      <selection activeCell="R11" sqref="R11:S161"/>
    </sheetView>
  </sheetViews>
  <sheetFormatPr baseColWidth="10" defaultColWidth="9.140625" defaultRowHeight="15" x14ac:dyDescent="0.25"/>
  <cols>
    <col min="1" max="1" width="3.7109375" style="865" customWidth="1"/>
    <col min="2" max="2" width="11.28515625" style="865" hidden="1" customWidth="1"/>
    <col min="3" max="3" width="14.28515625" style="866" customWidth="1"/>
    <col min="4" max="4" width="9.28515625" style="867" customWidth="1"/>
    <col min="5" max="5" width="9.5703125" style="867" customWidth="1"/>
    <col min="6" max="6" width="51.28515625" style="867" customWidth="1"/>
    <col min="7" max="7" width="11" style="867" customWidth="1"/>
    <col min="8" max="11" width="14.5703125" style="867" hidden="1" customWidth="1"/>
    <col min="12" max="13" width="15.140625" style="867" hidden="1" customWidth="1"/>
    <col min="14" max="14" width="12.42578125" style="926" customWidth="1"/>
    <col min="15" max="15" width="17.7109375" style="926" customWidth="1"/>
    <col min="16" max="16" width="21" style="867" bestFit="1" customWidth="1"/>
    <col min="17" max="17" width="3.7109375" style="865" customWidth="1"/>
    <col min="18" max="18" width="21.7109375" style="865" customWidth="1"/>
    <col min="19" max="19" width="25.5703125" style="865" customWidth="1"/>
    <col min="20" max="20" width="24.7109375" style="865" customWidth="1"/>
    <col min="21" max="16384" width="9.140625" style="865"/>
  </cols>
  <sheetData>
    <row r="2" spans="2:20" x14ac:dyDescent="0.25">
      <c r="C2" s="1431" t="s">
        <v>372</v>
      </c>
      <c r="D2" s="1431"/>
      <c r="E2" s="1431"/>
      <c r="F2" s="1431"/>
      <c r="G2" s="1431"/>
      <c r="H2" s="1431"/>
      <c r="I2" s="1431"/>
      <c r="J2" s="1431"/>
      <c r="K2" s="1431"/>
      <c r="L2" s="1431"/>
      <c r="M2" s="1431"/>
      <c r="N2" s="1431"/>
      <c r="O2" s="1431"/>
      <c r="P2" s="1431"/>
    </row>
    <row r="3" spans="2:20" x14ac:dyDescent="0.25">
      <c r="C3" s="1431"/>
      <c r="D3" s="1431"/>
      <c r="E3" s="1431"/>
      <c r="F3" s="1431"/>
      <c r="G3" s="1431"/>
      <c r="H3" s="1431"/>
      <c r="I3" s="1431"/>
      <c r="J3" s="1431"/>
      <c r="K3" s="1431"/>
      <c r="L3" s="1431"/>
      <c r="M3" s="1431"/>
      <c r="N3" s="1431"/>
      <c r="O3" s="1431"/>
      <c r="P3" s="1431"/>
    </row>
    <row r="4" spans="2:20" x14ac:dyDescent="0.25">
      <c r="C4" s="881"/>
      <c r="D4" s="881"/>
      <c r="E4" s="881"/>
      <c r="F4" s="881" t="s">
        <v>474</v>
      </c>
      <c r="G4" s="881"/>
      <c r="H4" s="881"/>
      <c r="I4" s="881"/>
      <c r="J4" s="881"/>
      <c r="K4" s="881"/>
      <c r="L4" s="881"/>
      <c r="M4" s="881"/>
      <c r="N4" s="925"/>
      <c r="O4" s="925"/>
      <c r="P4" s="918"/>
    </row>
    <row r="6" spans="2:20" ht="15" customHeight="1" x14ac:dyDescent="0.25"/>
    <row r="7" spans="2:20" ht="36" customHeight="1" x14ac:dyDescent="0.25">
      <c r="C7" s="884" t="s">
        <v>53</v>
      </c>
      <c r="D7" s="747" t="s">
        <v>0</v>
      </c>
      <c r="E7" s="747" t="s">
        <v>43</v>
      </c>
      <c r="F7" s="885" t="s">
        <v>1</v>
      </c>
      <c r="G7" s="748" t="s">
        <v>2</v>
      </c>
      <c r="H7" s="748"/>
      <c r="I7" s="748"/>
      <c r="J7" s="748"/>
      <c r="K7" s="748"/>
      <c r="L7" s="748"/>
      <c r="M7" s="748"/>
      <c r="N7" s="927" t="s">
        <v>3</v>
      </c>
      <c r="O7" s="927" t="s">
        <v>4</v>
      </c>
      <c r="P7" s="922" t="s">
        <v>5</v>
      </c>
    </row>
    <row r="8" spans="2:20" x14ac:dyDescent="0.25">
      <c r="C8" s="846"/>
      <c r="D8" s="747"/>
      <c r="E8" s="747"/>
      <c r="F8" s="846"/>
      <c r="G8" s="846"/>
      <c r="H8" s="846"/>
      <c r="I8" s="846"/>
      <c r="J8" s="846"/>
      <c r="K8" s="846"/>
      <c r="L8" s="846"/>
      <c r="M8" s="846"/>
      <c r="N8" s="928"/>
      <c r="O8" s="928"/>
      <c r="P8" s="923"/>
    </row>
    <row r="9" spans="2:20" x14ac:dyDescent="0.25">
      <c r="C9" s="846"/>
      <c r="D9" s="747"/>
      <c r="E9" s="747"/>
      <c r="F9" s="882" t="s">
        <v>19</v>
      </c>
      <c r="G9" s="747"/>
      <c r="H9" s="747"/>
      <c r="I9" s="747"/>
      <c r="J9" s="747"/>
      <c r="K9" s="747"/>
      <c r="L9" s="747"/>
      <c r="M9" s="747"/>
      <c r="N9" s="929"/>
      <c r="O9" s="929"/>
      <c r="P9" s="924"/>
    </row>
    <row r="10" spans="2:20" x14ac:dyDescent="0.25">
      <c r="B10" s="866" t="str">
        <f>+'[3]1. Colector Principal'!C13</f>
        <v>Excavación manual en material común:</v>
      </c>
      <c r="C10" s="868"/>
      <c r="D10" s="869"/>
      <c r="E10" s="42">
        <v>1</v>
      </c>
      <c r="F10" s="736" t="s">
        <v>54</v>
      </c>
      <c r="G10" s="45"/>
      <c r="H10" s="44"/>
      <c r="I10" s="44"/>
      <c r="J10" s="44"/>
      <c r="K10" s="44"/>
      <c r="L10" s="44"/>
      <c r="M10" s="44"/>
      <c r="N10" s="39"/>
      <c r="O10" s="40" t="str">
        <f>IF(D10="","",VLOOKUP(D10,#REF!,7,0))</f>
        <v/>
      </c>
      <c r="P10" s="912" t="str">
        <f>IF(ISERROR(+N10*O10),"",+N10*O10)</f>
        <v/>
      </c>
    </row>
    <row r="11" spans="2:20" ht="51" customHeight="1" x14ac:dyDescent="0.25">
      <c r="B11" s="866" t="str">
        <f>+'[3]1. Colector Principal'!C14</f>
        <v>Seco, entre 0 m y 2 m de profundidad</v>
      </c>
      <c r="C11" s="870" t="e">
        <f>'FORMATO PROPUESTA ECONÓMICA'!#REF!</f>
        <v>#REF!</v>
      </c>
      <c r="D11" s="871"/>
      <c r="E11" s="634">
        <f>'7. Presup. Sector 3 '!E11</f>
        <v>1.1000000000000001</v>
      </c>
      <c r="F11" s="737"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895">
        <f>N36*0.15</f>
        <v>657.32999999999993</v>
      </c>
      <c r="O11" s="629">
        <f>'FORMATO PROPUESTA ECONÓMICA'!E8</f>
        <v>0</v>
      </c>
      <c r="P11" s="911">
        <f>IF(ISERROR(+N11*O11),"",+N11*O11)</f>
        <v>0</v>
      </c>
      <c r="Q11" s="872"/>
      <c r="S11" s="1121"/>
    </row>
    <row r="12" spans="2:20" x14ac:dyDescent="0.25">
      <c r="B12" s="866" t="str">
        <f>+'[3]1. Colector Principal'!C15</f>
        <v>Seco, entre 2 m y 4 m de profundidad</v>
      </c>
      <c r="C12" s="870" t="e">
        <f>'FORMATO PROPUESTA ECONÓMICA'!#REF!</f>
        <v>#REF!</v>
      </c>
      <c r="D12" s="873"/>
      <c r="E12" s="634">
        <f>'7. Presup. Sector 3 '!E12</f>
        <v>1.2</v>
      </c>
      <c r="F12" s="738"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895">
        <f>N11*0.2</f>
        <v>131.46599999999998</v>
      </c>
      <c r="O12" s="629">
        <f>'FORMATO PROPUESTA ECONÓMICA'!E9</f>
        <v>0</v>
      </c>
      <c r="P12" s="911">
        <f>IF(ISERROR(+N12*O12),"",+N12*O12)</f>
        <v>0</v>
      </c>
      <c r="Q12" s="872"/>
      <c r="S12" s="1121"/>
    </row>
    <row r="13" spans="2:20" hidden="1" x14ac:dyDescent="0.25">
      <c r="B13" s="866" t="str">
        <f>+'[3]1. Colector Principal'!C16</f>
        <v>Seco, mayor a 4 m de profundidad</v>
      </c>
      <c r="C13" s="870" t="e">
        <f>'FORMATO PROPUESTA ECONÓMICA'!#REF!</f>
        <v>#REF!</v>
      </c>
      <c r="D13" s="873"/>
      <c r="E13" s="634">
        <f>'7. Presup. Sector 3 '!E13</f>
        <v>1.3</v>
      </c>
      <c r="F13" s="738"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895"/>
      <c r="O13" s="629">
        <f>'FORMATO PROPUESTA ECONÓMICA'!E10</f>
        <v>0</v>
      </c>
      <c r="P13" s="911">
        <f>IF(ISERROR(+N13*O13),"",+N13*O13)</f>
        <v>0</v>
      </c>
      <c r="Q13" s="872"/>
      <c r="S13" s="1121"/>
    </row>
    <row r="14" spans="2:20" hidden="1" x14ac:dyDescent="0.25">
      <c r="B14" s="866" t="str">
        <f>+'[3]1. Colector Principal'!C17</f>
        <v>Húmedo , entre 0 m y 2 m de profundidad</v>
      </c>
      <c r="C14" s="870" t="e">
        <f>'FORMATO PROPUESTA ECONÓMICA'!#REF!</f>
        <v>#REF!</v>
      </c>
      <c r="D14" s="873"/>
      <c r="E14" s="634">
        <f>'7. Presup. Sector 3 '!E14</f>
        <v>1.4</v>
      </c>
      <c r="F14" s="738"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901">
        <f>+N13</f>
        <v>0</v>
      </c>
      <c r="O14" s="629">
        <f>'FORMATO PROPUESTA ECONÓMICA'!E11</f>
        <v>0</v>
      </c>
      <c r="P14" s="911">
        <f>IF(ISERROR(+N14*O14),"",+N14*O14)</f>
        <v>0</v>
      </c>
      <c r="Q14" s="872"/>
      <c r="S14" s="1121"/>
    </row>
    <row r="15" spans="2:20" x14ac:dyDescent="0.25">
      <c r="B15" s="866"/>
      <c r="C15" s="874"/>
      <c r="D15" s="741"/>
      <c r="E15" s="732">
        <f>'7. Presup. Sector 3 '!E15</f>
        <v>2</v>
      </c>
      <c r="F15" s="739" t="s">
        <v>60</v>
      </c>
      <c r="G15" s="44"/>
      <c r="H15" s="39"/>
      <c r="I15" s="40"/>
      <c r="J15" s="41"/>
      <c r="K15" s="40"/>
      <c r="L15" s="40"/>
      <c r="M15" s="40"/>
      <c r="N15" s="937"/>
      <c r="O15" s="39"/>
      <c r="P15" s="912"/>
      <c r="Q15" s="872"/>
      <c r="R15" s="875"/>
      <c r="S15" s="1121"/>
      <c r="T15" s="865">
        <f>1.44*P15</f>
        <v>0</v>
      </c>
    </row>
    <row r="16" spans="2:20" x14ac:dyDescent="0.25">
      <c r="B16" s="866"/>
      <c r="C16" s="874"/>
      <c r="D16" s="741"/>
      <c r="E16" s="735">
        <f>'7. Presup. Sector 3 '!E16</f>
        <v>2.1</v>
      </c>
      <c r="F16" s="739" t="s">
        <v>61</v>
      </c>
      <c r="G16" s="44"/>
      <c r="H16" s="39"/>
      <c r="I16" s="40"/>
      <c r="J16" s="41"/>
      <c r="K16" s="40"/>
      <c r="L16" s="40"/>
      <c r="M16" s="40"/>
      <c r="N16" s="937"/>
      <c r="O16" s="39"/>
      <c r="P16" s="912"/>
      <c r="Q16" s="872"/>
      <c r="R16" s="875"/>
      <c r="S16" s="1121"/>
    </row>
    <row r="17" spans="2:19" ht="30" x14ac:dyDescent="0.25">
      <c r="B17" s="866"/>
      <c r="C17" s="870" t="e">
        <f>'FORMATO PROPUESTA ECONÓMICA'!#REF!</f>
        <v>#REF!</v>
      </c>
      <c r="D17" s="873"/>
      <c r="E17" s="634">
        <f>'7. Presup. Sector 3 '!E17</f>
        <v>2.2000000000000002</v>
      </c>
      <c r="F17" s="740" t="s">
        <v>62</v>
      </c>
      <c r="G17" s="628" t="s">
        <v>15</v>
      </c>
      <c r="H17" s="629"/>
      <c r="I17" s="630"/>
      <c r="J17" s="631"/>
      <c r="K17" s="630"/>
      <c r="L17" s="630"/>
      <c r="M17" s="630"/>
      <c r="N17" s="895">
        <f>(N36+N37+N38+N39)*1.1*0.6+N65*0.4*0.6-6.9</f>
        <v>4718.2080000000005</v>
      </c>
      <c r="O17" s="629">
        <f>'FORMATO PROPUESTA ECONÓMICA'!E14</f>
        <v>0</v>
      </c>
      <c r="P17" s="911">
        <f>IF(ISERROR(+N17*O17),"",+N17*O17)</f>
        <v>0</v>
      </c>
      <c r="Q17" s="872"/>
      <c r="R17" s="875"/>
      <c r="S17" s="1121"/>
    </row>
    <row r="18" spans="2:19" ht="45" hidden="1" x14ac:dyDescent="0.25">
      <c r="B18" s="866"/>
      <c r="C18" s="870" t="e">
        <f>'FORMATO PROPUESTA ECONÓMICA'!#REF!</f>
        <v>#REF!</v>
      </c>
      <c r="D18" s="873"/>
      <c r="E18" s="634">
        <f>'7. Presup. Sector 3 '!E18</f>
        <v>2.2999999999999998</v>
      </c>
      <c r="F18" s="632" t="s">
        <v>431</v>
      </c>
      <c r="G18" s="628" t="s">
        <v>15</v>
      </c>
      <c r="H18" s="629"/>
      <c r="I18" s="630"/>
      <c r="J18" s="631"/>
      <c r="K18" s="630"/>
      <c r="L18" s="630"/>
      <c r="M18" s="630"/>
      <c r="N18" s="895"/>
      <c r="O18" s="629">
        <f>'FORMATO PROPUESTA ECONÓMICA'!E15</f>
        <v>0</v>
      </c>
      <c r="P18" s="911">
        <f>IF(ISERROR(+N18*O18),"",+N18*O18)</f>
        <v>0</v>
      </c>
      <c r="Q18" s="872"/>
      <c r="R18" s="875"/>
      <c r="S18" s="1121"/>
    </row>
    <row r="19" spans="2:19" ht="75" x14ac:dyDescent="0.25">
      <c r="B19" s="866" t="str">
        <f>+'[3]1. Colector Principal'!C22</f>
        <v>Entibados en madera</v>
      </c>
      <c r="C19" s="874" t="e">
        <f>'FORMATO PROPUESTA ECONÓMICA'!#REF!</f>
        <v>#REF!</v>
      </c>
      <c r="D19" s="741"/>
      <c r="E19" s="732">
        <f>'7. Presup. Sector 3 '!E19</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937"/>
      <c r="O19" s="39"/>
      <c r="P19" s="912"/>
      <c r="Q19" s="872"/>
      <c r="R19" s="875"/>
      <c r="S19" s="1121"/>
    </row>
    <row r="20" spans="2:19" ht="30" x14ac:dyDescent="0.25">
      <c r="B20" s="866"/>
      <c r="C20" s="870" t="e">
        <f>'FORMATO PROPUESTA ECONÓMICA'!#REF!</f>
        <v>#REF!</v>
      </c>
      <c r="D20" s="873"/>
      <c r="E20" s="634">
        <f>'7. Presup. Sector 3 '!E20</f>
        <v>3.1</v>
      </c>
      <c r="F20" s="633" t="s">
        <v>64</v>
      </c>
      <c r="G20" s="628" t="s">
        <v>15</v>
      </c>
      <c r="H20" s="629"/>
      <c r="I20" s="630"/>
      <c r="J20" s="631"/>
      <c r="K20" s="630"/>
      <c r="L20" s="630"/>
      <c r="M20" s="630"/>
      <c r="N20" s="895">
        <f>0.15*N17</f>
        <v>707.73120000000006</v>
      </c>
      <c r="O20" s="629">
        <f>'FORMATO PROPUESTA ECONÓMICA'!E18</f>
        <v>0</v>
      </c>
      <c r="P20" s="911">
        <f>IF(ISERROR(+N20*O20),"",+N20*O20)</f>
        <v>0</v>
      </c>
      <c r="Q20" s="872"/>
      <c r="R20" s="875"/>
      <c r="S20" s="1121"/>
    </row>
    <row r="21" spans="2:19" ht="30" x14ac:dyDescent="0.25">
      <c r="B21" s="866"/>
      <c r="C21" s="870" t="e">
        <f>'FORMATO PROPUESTA ECONÓMICA'!#REF!</f>
        <v>#REF!</v>
      </c>
      <c r="D21" s="873"/>
      <c r="E21" s="634">
        <f>'7. Presup. Sector 3 '!E21</f>
        <v>3.2</v>
      </c>
      <c r="F21" s="633" t="s">
        <v>65</v>
      </c>
      <c r="G21" s="628" t="s">
        <v>15</v>
      </c>
      <c r="H21" s="629"/>
      <c r="I21" s="630"/>
      <c r="J21" s="631"/>
      <c r="K21" s="630"/>
      <c r="L21" s="630"/>
      <c r="M21" s="630"/>
      <c r="N21" s="895">
        <f>0.55*N17-N25</f>
        <v>2412.2184000000007</v>
      </c>
      <c r="O21" s="629">
        <f>'FORMATO PROPUESTA ECONÓMICA'!E19</f>
        <v>0</v>
      </c>
      <c r="P21" s="911">
        <f>IF(ISERROR(+N21*O21),"",+N21*O21)</f>
        <v>0</v>
      </c>
      <c r="Q21" s="872"/>
      <c r="R21" s="875"/>
      <c r="S21" s="1121"/>
    </row>
    <row r="22" spans="2:19" ht="30" x14ac:dyDescent="0.25">
      <c r="B22" s="866"/>
      <c r="C22" s="870" t="e">
        <f>'FORMATO PROPUESTA ECONÓMICA'!#REF!</f>
        <v>#REF!</v>
      </c>
      <c r="D22" s="873"/>
      <c r="E22" s="634">
        <f>'7. Presup. Sector 3 '!E22</f>
        <v>3.3</v>
      </c>
      <c r="F22" s="633" t="s">
        <v>66</v>
      </c>
      <c r="G22" s="628" t="s">
        <v>15</v>
      </c>
      <c r="H22" s="629"/>
      <c r="I22" s="630"/>
      <c r="J22" s="631"/>
      <c r="K22" s="630"/>
      <c r="L22" s="630"/>
      <c r="M22" s="630"/>
      <c r="N22" s="895">
        <f>0.3*N17</f>
        <v>1415.4624000000001</v>
      </c>
      <c r="O22" s="629">
        <f>'FORMATO PROPUESTA ECONÓMICA'!E20</f>
        <v>0</v>
      </c>
      <c r="P22" s="911">
        <f>IF(ISERROR(+N22*O22),"",+N22*O22)</f>
        <v>0</v>
      </c>
      <c r="Q22" s="872"/>
      <c r="R22" s="875"/>
      <c r="S22" s="1121"/>
    </row>
    <row r="23" spans="2:19" ht="15" hidden="1" customHeight="1" x14ac:dyDescent="0.25">
      <c r="B23" s="866"/>
      <c r="C23" s="870" t="e">
        <f>'FORMATO PROPUESTA ECONÓMICA'!#REF!</f>
        <v>#REF!</v>
      </c>
      <c r="D23" s="871"/>
      <c r="E23" s="634">
        <f>'7. Presup. Sector 3 '!E23</f>
        <v>3.4</v>
      </c>
      <c r="F23" s="633" t="s">
        <v>67</v>
      </c>
      <c r="G23" s="628" t="s">
        <v>15</v>
      </c>
      <c r="H23" s="629"/>
      <c r="I23" s="630"/>
      <c r="J23" s="631"/>
      <c r="K23" s="630"/>
      <c r="L23" s="630"/>
      <c r="M23" s="630"/>
      <c r="N23" s="901"/>
      <c r="O23" s="629">
        <f>'FORMATO PROPUESTA ECONÓMICA'!E21</f>
        <v>0</v>
      </c>
      <c r="P23" s="911">
        <f t="shared" ref="P23:P25" si="1">IF(ISERROR(+N23*O23),"",+N23*O23)</f>
        <v>0</v>
      </c>
      <c r="Q23" s="872"/>
      <c r="R23" s="875"/>
      <c r="S23" s="1121"/>
    </row>
    <row r="24" spans="2:19" ht="30" x14ac:dyDescent="0.25">
      <c r="B24" s="866"/>
      <c r="C24" s="870" t="e">
        <f>'FORMATO PROPUESTA ECONÓMICA'!#REF!</f>
        <v>#REF!</v>
      </c>
      <c r="D24" s="873"/>
      <c r="E24" s="634">
        <f>'7. Presup. Sector 3 '!E24</f>
        <v>3.5</v>
      </c>
      <c r="F24" s="633" t="s">
        <v>68</v>
      </c>
      <c r="G24" s="628" t="s">
        <v>15</v>
      </c>
      <c r="H24" s="629"/>
      <c r="I24" s="630"/>
      <c r="J24" s="631"/>
      <c r="K24" s="630"/>
      <c r="L24" s="630"/>
      <c r="M24" s="630"/>
      <c r="N24" s="901">
        <f>N109</f>
        <v>4</v>
      </c>
      <c r="O24" s="629">
        <f>'FORMATO PROPUESTA ECONÓMICA'!E22</f>
        <v>0</v>
      </c>
      <c r="P24" s="911">
        <f t="shared" si="1"/>
        <v>0</v>
      </c>
      <c r="Q24" s="872"/>
      <c r="R24" s="875"/>
      <c r="S24" s="1121"/>
    </row>
    <row r="25" spans="2:19" x14ac:dyDescent="0.25">
      <c r="B25" s="866"/>
      <c r="C25" s="870" t="e">
        <f>'FORMATO PROPUESTA ECONÓMICA'!#REF!</f>
        <v>#REF!</v>
      </c>
      <c r="D25" s="873"/>
      <c r="E25" s="620">
        <f>'7. Presup. Sector 3 '!E25</f>
        <v>3.6</v>
      </c>
      <c r="F25" s="633" t="s">
        <v>441</v>
      </c>
      <c r="G25" s="628" t="s">
        <v>15</v>
      </c>
      <c r="H25" s="629"/>
      <c r="I25" s="630"/>
      <c r="J25" s="631"/>
      <c r="K25" s="630"/>
      <c r="L25" s="630"/>
      <c r="M25" s="630"/>
      <c r="N25" s="901">
        <f>(N36+N38+N39)*0.4*0.1</f>
        <v>182.79600000000002</v>
      </c>
      <c r="O25" s="629">
        <f>'FORMATO PROPUESTA ECONÓMICA'!E23</f>
        <v>0</v>
      </c>
      <c r="P25" s="911">
        <f t="shared" si="1"/>
        <v>0</v>
      </c>
      <c r="Q25" s="872"/>
      <c r="R25" s="875"/>
      <c r="S25" s="1121"/>
    </row>
    <row r="26" spans="2:19" x14ac:dyDescent="0.25">
      <c r="B26" s="866" t="str">
        <f>+'[3]1. Colector Principal'!C25</f>
        <v>Lleno y apisonado de zanjas y apiques con</v>
      </c>
      <c r="C26" s="874" t="e">
        <f>'FORMATO PROPUESTA ECONÓMICA'!#REF!</f>
        <v>#REF!</v>
      </c>
      <c r="D26" s="741"/>
      <c r="E26" s="732">
        <f>'7. Presup. Sector 3 '!E26</f>
        <v>4</v>
      </c>
      <c r="F26" s="43" t="s">
        <v>69</v>
      </c>
      <c r="G26" s="44"/>
      <c r="H26" s="39">
        <f>IF(ISERROR(VLOOKUP($D26,[4]Ppto!$A$3:$F$100,4,)),0,VLOOKUP($D26,[4]Ppto!$A$3:$F$100,4,))</f>
        <v>0</v>
      </c>
      <c r="I26" s="40">
        <f>IF(ISERROR(VLOOKUP($D26,[4]Ppto!$A$3:$F$100,5,)),0,VLOOKUP($D26,[4]Ppto!$A$3:$F$100,5,))</f>
        <v>0</v>
      </c>
      <c r="J26" s="41">
        <v>1</v>
      </c>
      <c r="K26" s="40">
        <f>+I26-O27</f>
        <v>0</v>
      </c>
      <c r="L26" s="40">
        <f t="shared" si="0"/>
        <v>0</v>
      </c>
      <c r="M26" s="40">
        <f>+L26-P26</f>
        <v>0</v>
      </c>
      <c r="N26" s="937"/>
      <c r="O26" s="39"/>
      <c r="P26" s="912"/>
      <c r="Q26" s="872"/>
      <c r="R26" s="875"/>
      <c r="S26" s="1121"/>
    </row>
    <row r="27" spans="2:19" ht="30" x14ac:dyDescent="0.25">
      <c r="B27" s="866" t="str">
        <f>+'[3]1. Colector Principal'!C26</f>
        <v>Material selecto de la excavación</v>
      </c>
      <c r="C27" s="870" t="e">
        <f>'FORMATO PROPUESTA ECONÓMICA'!#REF!</f>
        <v>#REF!</v>
      </c>
      <c r="D27" s="873"/>
      <c r="E27" s="620">
        <f>'7. Presup. Sector 3 '!E27</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901">
        <f>(N17-N20)</f>
        <v>4010.4768000000004</v>
      </c>
      <c r="O27" s="629">
        <f>'FORMATO PROPUESTA ECONÓMICA'!E25</f>
        <v>0</v>
      </c>
      <c r="P27" s="911">
        <f>IF(ISERROR(+N27*O27),"",+N27*O27)</f>
        <v>0</v>
      </c>
      <c r="Q27" s="872"/>
      <c r="R27" s="875"/>
      <c r="S27" s="1121"/>
    </row>
    <row r="28" spans="2:19" ht="30" x14ac:dyDescent="0.25">
      <c r="B28" s="866" t="str">
        <f>+'[3]1. Colector Principal'!C28</f>
        <v>Cargue, retiro y botada de material sobrante</v>
      </c>
      <c r="C28" s="874" t="e">
        <f>'FORMATO PROPUESTA ECONÓMICA'!#REF!</f>
        <v>#REF!</v>
      </c>
      <c r="D28" s="741"/>
      <c r="E28" s="732">
        <f>'7. Presup. Sector 3 '!E28</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937"/>
      <c r="O28" s="39"/>
      <c r="P28" s="912"/>
      <c r="Q28" s="872"/>
      <c r="R28" s="875"/>
      <c r="S28" s="1121"/>
    </row>
    <row r="29" spans="2:19" ht="30" x14ac:dyDescent="0.25">
      <c r="B29" s="866" t="str">
        <f>+'[3]1. Colector Principal'!C29</f>
        <v>Retiro y disposición final de material sobrante a cualquier distancia</v>
      </c>
      <c r="C29" s="870" t="e">
        <f>'FORMATO PROPUESTA ECONÓMICA'!#REF!</f>
        <v>#REF!</v>
      </c>
      <c r="D29" s="873"/>
      <c r="E29" s="713">
        <f>'7. Presup. Sector 3 '!E29</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895">
        <f>+N11</f>
        <v>657.32999999999993</v>
      </c>
      <c r="O29" s="629">
        <f>'FORMATO PROPUESTA ECONÓMICA'!E27</f>
        <v>0</v>
      </c>
      <c r="P29" s="911">
        <f>IF(ISERROR(+N29*O29),"",+N29*O29)</f>
        <v>0</v>
      </c>
      <c r="Q29" s="872"/>
      <c r="R29" s="875"/>
      <c r="S29" s="1121"/>
    </row>
    <row r="30" spans="2:19" ht="30" x14ac:dyDescent="0.25">
      <c r="B30" s="866"/>
      <c r="C30" s="870" t="e">
        <f>'FORMATO PROPUESTA ECONÓMICA'!#REF!</f>
        <v>#REF!</v>
      </c>
      <c r="D30" s="873"/>
      <c r="E30" s="713">
        <f>'7. Presup. Sector 3 '!E30</f>
        <v>5.2</v>
      </c>
      <c r="F30" s="633" t="s">
        <v>74</v>
      </c>
      <c r="G30" s="628" t="s">
        <v>73</v>
      </c>
      <c r="H30" s="629"/>
      <c r="I30" s="630"/>
      <c r="J30" s="631"/>
      <c r="K30" s="630"/>
      <c r="L30" s="630"/>
      <c r="M30" s="630"/>
      <c r="N30" s="895">
        <f>+N12</f>
        <v>131.46599999999998</v>
      </c>
      <c r="O30" s="629">
        <f>'FORMATO PROPUESTA ECONÓMICA'!E28</f>
        <v>0</v>
      </c>
      <c r="P30" s="911">
        <f>IF(ISERROR(+N30*O30),"",+N30*O30)</f>
        <v>0</v>
      </c>
      <c r="Q30" s="872"/>
      <c r="R30" s="875"/>
      <c r="S30" s="1121"/>
    </row>
    <row r="31" spans="2:19" ht="45" hidden="1" x14ac:dyDescent="0.25">
      <c r="B31" s="866"/>
      <c r="C31" s="870" t="e">
        <f>'FORMATO PROPUESTA ECONÓMICA'!#REF!</f>
        <v>#REF!</v>
      </c>
      <c r="D31" s="873"/>
      <c r="E31" s="620">
        <f>'7. Presup. Sector 3 '!E31</f>
        <v>5.3</v>
      </c>
      <c r="F31" s="633" t="s">
        <v>75</v>
      </c>
      <c r="G31" s="628" t="s">
        <v>7</v>
      </c>
      <c r="H31" s="629"/>
      <c r="I31" s="630"/>
      <c r="J31" s="631"/>
      <c r="K31" s="630"/>
      <c r="L31" s="630"/>
      <c r="M31" s="630"/>
      <c r="N31" s="901">
        <f>+N13</f>
        <v>0</v>
      </c>
      <c r="O31" s="629">
        <f>'FORMATO PROPUESTA ECONÓMICA'!E29</f>
        <v>0</v>
      </c>
      <c r="P31" s="911">
        <f>IF(ISERROR(+N31*O31),"",+N31*O31)</f>
        <v>0</v>
      </c>
      <c r="Q31" s="872"/>
      <c r="R31" s="875"/>
      <c r="S31" s="1121"/>
    </row>
    <row r="32" spans="2:19" ht="45" hidden="1" x14ac:dyDescent="0.25">
      <c r="B32" s="866"/>
      <c r="C32" s="870" t="e">
        <f>'FORMATO PROPUESTA ECONÓMICA'!#REF!</f>
        <v>#REF!</v>
      </c>
      <c r="D32" s="873"/>
      <c r="E32" s="620">
        <f>'7. Presup. Sector 3 '!E32</f>
        <v>5.4</v>
      </c>
      <c r="F32" s="633" t="s">
        <v>76</v>
      </c>
      <c r="G32" s="628" t="s">
        <v>7</v>
      </c>
      <c r="H32" s="629"/>
      <c r="I32" s="630"/>
      <c r="J32" s="631"/>
      <c r="K32" s="630"/>
      <c r="L32" s="630"/>
      <c r="M32" s="630"/>
      <c r="N32" s="901">
        <f>+N14</f>
        <v>0</v>
      </c>
      <c r="O32" s="629">
        <f>'FORMATO PROPUESTA ECONÓMICA'!E30</f>
        <v>0</v>
      </c>
      <c r="P32" s="911">
        <f>IF(ISERROR(+N32*O32),"",+N32*O32)</f>
        <v>0</v>
      </c>
      <c r="Q32" s="872"/>
      <c r="R32" s="875"/>
      <c r="S32" s="1121"/>
    </row>
    <row r="33" spans="2:19" hidden="1" x14ac:dyDescent="0.25">
      <c r="B33" s="866"/>
      <c r="C33" s="870" t="e">
        <f>'FORMATO PROPUESTA ECONÓMICA'!#REF!</f>
        <v>#REF!</v>
      </c>
      <c r="D33" s="873"/>
      <c r="E33" s="620">
        <f>'7. Presup. Sector 3 '!E33</f>
        <v>5.5</v>
      </c>
      <c r="F33" s="633" t="s">
        <v>77</v>
      </c>
      <c r="G33" s="628" t="s">
        <v>16</v>
      </c>
      <c r="H33" s="629"/>
      <c r="I33" s="630"/>
      <c r="J33" s="631"/>
      <c r="K33" s="630"/>
      <c r="L33" s="630"/>
      <c r="M33" s="630"/>
      <c r="N33" s="938"/>
      <c r="O33" s="629">
        <f>'FORMATO PROPUESTA ECONÓMICA'!E31</f>
        <v>0</v>
      </c>
      <c r="P33" s="911">
        <f>IF(ISERROR(+N33*O33),"",+N33*O33)</f>
        <v>0</v>
      </c>
      <c r="Q33" s="872"/>
      <c r="R33" s="875"/>
      <c r="S33" s="1121"/>
    </row>
    <row r="34" spans="2:19" x14ac:dyDescent="0.25">
      <c r="B34" s="866" t="str">
        <f>+'[3]1. Colector Principal'!C30</f>
        <v>Construcción de Cámara de inspección de concreto de 21 MPa vaciadas en el sitio</v>
      </c>
      <c r="C34" s="874" t="e">
        <f>'FORMATO PROPUESTA ECONÓMICA'!#REF!</f>
        <v>#REF!</v>
      </c>
      <c r="D34" s="741"/>
      <c r="E34" s="732">
        <f>'7. Presup. Sector 3 '!E34</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937"/>
      <c r="O34" s="39"/>
      <c r="P34" s="912"/>
      <c r="Q34" s="872"/>
      <c r="R34" s="875"/>
      <c r="S34" s="1121"/>
    </row>
    <row r="35" spans="2:19" ht="30" hidden="1" x14ac:dyDescent="0.25">
      <c r="B35" s="866" t="str">
        <f>+'[3]1. Colector Principal'!C31</f>
        <v>Cilindro de la cámara 1.2m, concéntrica vaciada en situ</v>
      </c>
      <c r="C35" s="870" t="e">
        <f>'FORMATO PROPUESTA ECONÓMICA'!#REF!</f>
        <v>#REF!</v>
      </c>
      <c r="D35" s="873"/>
      <c r="E35" s="620">
        <f>'7. Presup. Sector 3 '!E35</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901"/>
      <c r="O35" s="629">
        <f>'FORMATO PROPUESTA ECONÓMICA'!E33</f>
        <v>0</v>
      </c>
      <c r="P35" s="911">
        <f t="shared" ref="P35:P63" si="2">IF(ISERROR(+N35*O35),"",+N35*O35)</f>
        <v>0</v>
      </c>
      <c r="Q35" s="872"/>
      <c r="R35" s="875"/>
      <c r="S35" s="1121"/>
    </row>
    <row r="36" spans="2:19" ht="30" x14ac:dyDescent="0.25">
      <c r="B36" s="866" t="str">
        <f>+'[3]1. Colector Principal'!C32</f>
        <v>Cilindro de la cámara 1.5m, concéntrica vaciada en situ</v>
      </c>
      <c r="C36" s="870" t="e">
        <f>'FORMATO PROPUESTA ECONÓMICA'!#REF!</f>
        <v>#REF!</v>
      </c>
      <c r="D36" s="873"/>
      <c r="E36" s="634">
        <f>'7. Presup. Sector 3 '!E36</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895">
        <v>4382.2</v>
      </c>
      <c r="O36" s="629">
        <f>'FORMATO PROPUESTA ECONÓMICA'!E34</f>
        <v>0</v>
      </c>
      <c r="P36" s="911">
        <f t="shared" si="2"/>
        <v>0</v>
      </c>
      <c r="Q36" s="872"/>
      <c r="R36" s="875"/>
      <c r="S36" s="1121"/>
    </row>
    <row r="37" spans="2:19" ht="30" x14ac:dyDescent="0.25">
      <c r="B37" s="866"/>
      <c r="C37" s="870" t="e">
        <f>'FORMATO PROPUESTA ECONÓMICA'!#REF!</f>
        <v>#REF!</v>
      </c>
      <c r="D37" s="873"/>
      <c r="E37" s="634">
        <f>'7. Presup. Sector 3 '!E37</f>
        <v>6.3</v>
      </c>
      <c r="F37" s="633" t="s">
        <v>376</v>
      </c>
      <c r="G37" s="628" t="s">
        <v>59</v>
      </c>
      <c r="H37" s="629"/>
      <c r="I37" s="630"/>
      <c r="J37" s="631"/>
      <c r="K37" s="630"/>
      <c r="L37" s="630"/>
      <c r="M37" s="630"/>
      <c r="N37" s="895">
        <v>843.9</v>
      </c>
      <c r="O37" s="629">
        <f>'FORMATO PROPUESTA ECONÓMICA'!E35</f>
        <v>0</v>
      </c>
      <c r="P37" s="911">
        <f t="shared" si="2"/>
        <v>0</v>
      </c>
      <c r="Q37" s="872"/>
      <c r="R37" s="875"/>
      <c r="S37" s="1121"/>
    </row>
    <row r="38" spans="2:19" ht="30" x14ac:dyDescent="0.25">
      <c r="B38" s="866"/>
      <c r="C38" s="870" t="e">
        <f>'FORMATO PROPUESTA ECONÓMICA'!#REF!</f>
        <v>#REF!</v>
      </c>
      <c r="D38" s="873"/>
      <c r="E38" s="634">
        <f>'7. Presup. Sector 3 '!E38</f>
        <v>6.4</v>
      </c>
      <c r="F38" s="633" t="s">
        <v>377</v>
      </c>
      <c r="G38" s="628" t="s">
        <v>59</v>
      </c>
      <c r="H38" s="629"/>
      <c r="I38" s="630"/>
      <c r="J38" s="631"/>
      <c r="K38" s="630"/>
      <c r="L38" s="630"/>
      <c r="M38" s="630"/>
      <c r="N38" s="895">
        <v>158.5</v>
      </c>
      <c r="O38" s="629">
        <f>'FORMATO PROPUESTA ECONÓMICA'!E36</f>
        <v>0</v>
      </c>
      <c r="P38" s="911">
        <f t="shared" si="2"/>
        <v>0</v>
      </c>
      <c r="Q38" s="872"/>
      <c r="R38" s="875"/>
      <c r="S38" s="1121"/>
    </row>
    <row r="39" spans="2:19" ht="30" x14ac:dyDescent="0.25">
      <c r="B39" s="866" t="str">
        <f>+'[3]1. Colector Principal'!C33</f>
        <v xml:space="preserve"> Base y Cañuela pozo de inspección para tuberías entre 8" a 24" (concreto f´c= 28MPa elab. en obra)</v>
      </c>
      <c r="C39" s="870" t="e">
        <f>'FORMATO PROPUESTA ECONÓMICA'!#REF!</f>
        <v>#REF!</v>
      </c>
      <c r="D39" s="873"/>
      <c r="E39" s="634">
        <f>'7. Presup. Sector 3 '!E39</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895">
        <v>29.2</v>
      </c>
      <c r="O39" s="629">
        <f>'FORMATO PROPUESTA ECONÓMICA'!E37</f>
        <v>0</v>
      </c>
      <c r="P39" s="911">
        <f t="shared" si="2"/>
        <v>0</v>
      </c>
      <c r="Q39" s="872"/>
      <c r="R39" s="875"/>
      <c r="S39" s="1121"/>
    </row>
    <row r="40" spans="2:19" hidden="1" x14ac:dyDescent="0.25">
      <c r="B40" s="866"/>
      <c r="C40" s="870" t="e">
        <f>'FORMATO PROPUESTA ECONÓMICA'!#REF!</f>
        <v>#REF!</v>
      </c>
      <c r="D40" s="873"/>
      <c r="E40" s="634">
        <f>'7. Presup. Sector 3 '!E40</f>
        <v>6.6</v>
      </c>
      <c r="F40" s="633" t="s">
        <v>382</v>
      </c>
      <c r="G40" s="628" t="s">
        <v>79</v>
      </c>
      <c r="H40" s="629"/>
      <c r="I40" s="630"/>
      <c r="J40" s="631"/>
      <c r="K40" s="630"/>
      <c r="L40" s="630"/>
      <c r="M40" s="630"/>
      <c r="N40" s="895"/>
      <c r="O40" s="629">
        <f>'FORMATO PROPUESTA ECONÓMICA'!E38</f>
        <v>0</v>
      </c>
      <c r="P40" s="911">
        <f t="shared" si="2"/>
        <v>0</v>
      </c>
      <c r="Q40" s="872"/>
      <c r="R40" s="875"/>
      <c r="S40" s="1121"/>
    </row>
    <row r="41" spans="2:19" x14ac:dyDescent="0.25">
      <c r="B41" s="866"/>
      <c r="C41" s="870" t="e">
        <f>'FORMATO PROPUESTA ECONÓMICA'!#REF!</f>
        <v>#REF!</v>
      </c>
      <c r="D41" s="873"/>
      <c r="E41" s="634">
        <f>'7. Presup. Sector 3 '!E41</f>
        <v>6.7</v>
      </c>
      <c r="F41" s="633" t="s">
        <v>381</v>
      </c>
      <c r="G41" s="628" t="s">
        <v>79</v>
      </c>
      <c r="H41" s="629"/>
      <c r="I41" s="630"/>
      <c r="J41" s="631"/>
      <c r="K41" s="630"/>
      <c r="L41" s="630"/>
      <c r="M41" s="630"/>
      <c r="N41" s="895">
        <v>45</v>
      </c>
      <c r="O41" s="629">
        <f>'FORMATO PROPUESTA ECONÓMICA'!E39</f>
        <v>0</v>
      </c>
      <c r="P41" s="911">
        <f t="shared" si="2"/>
        <v>0</v>
      </c>
      <c r="Q41" s="872"/>
      <c r="R41" s="875"/>
      <c r="S41" s="1121"/>
    </row>
    <row r="42" spans="2:19" x14ac:dyDescent="0.25">
      <c r="B42" s="866"/>
      <c r="C42" s="870" t="e">
        <f>'FORMATO PROPUESTA ECONÓMICA'!#REF!</f>
        <v>#REF!</v>
      </c>
      <c r="D42" s="873"/>
      <c r="E42" s="634">
        <f>'7. Presup. Sector 3 '!E42</f>
        <v>6.8</v>
      </c>
      <c r="F42" s="633" t="s">
        <v>383</v>
      </c>
      <c r="G42" s="628" t="s">
        <v>79</v>
      </c>
      <c r="H42" s="629"/>
      <c r="I42" s="630"/>
      <c r="J42" s="631"/>
      <c r="K42" s="630"/>
      <c r="L42" s="630"/>
      <c r="M42" s="630"/>
      <c r="N42" s="904">
        <v>2</v>
      </c>
      <c r="O42" s="629">
        <f>'FORMATO PROPUESTA ECONÓMICA'!E40</f>
        <v>0</v>
      </c>
      <c r="P42" s="911">
        <f t="shared" si="2"/>
        <v>0</v>
      </c>
      <c r="Q42" s="872"/>
      <c r="R42" s="875"/>
      <c r="S42" s="1121"/>
    </row>
    <row r="43" spans="2:19" x14ac:dyDescent="0.25">
      <c r="B43" s="866"/>
      <c r="C43" s="870" t="e">
        <f>'FORMATO PROPUESTA ECONÓMICA'!#REF!</f>
        <v>#REF!</v>
      </c>
      <c r="D43" s="873"/>
      <c r="E43" s="634">
        <f>'7. Presup. Sector 3 '!E43</f>
        <v>6.9</v>
      </c>
      <c r="F43" s="633" t="s">
        <v>384</v>
      </c>
      <c r="G43" s="628" t="s">
        <v>79</v>
      </c>
      <c r="H43" s="629"/>
      <c r="I43" s="630"/>
      <c r="J43" s="631"/>
      <c r="K43" s="630"/>
      <c r="L43" s="630"/>
      <c r="M43" s="630"/>
      <c r="N43" s="904">
        <v>2</v>
      </c>
      <c r="O43" s="629">
        <f>'FORMATO PROPUESTA ECONÓMICA'!E41</f>
        <v>0</v>
      </c>
      <c r="P43" s="911">
        <f t="shared" si="2"/>
        <v>0</v>
      </c>
      <c r="Q43" s="872"/>
      <c r="R43" s="875"/>
      <c r="S43" s="1121"/>
    </row>
    <row r="44" spans="2:19" x14ac:dyDescent="0.25">
      <c r="B44" s="866"/>
      <c r="C44" s="870" t="e">
        <f>'FORMATO PROPUESTA ECONÓMICA'!#REF!</f>
        <v>#REF!</v>
      </c>
      <c r="D44" s="873"/>
      <c r="E44" s="620">
        <f>'7. Presup. Sector 3 '!E44</f>
        <v>6.1</v>
      </c>
      <c r="F44" s="633" t="s">
        <v>385</v>
      </c>
      <c r="G44" s="628" t="s">
        <v>79</v>
      </c>
      <c r="H44" s="629"/>
      <c r="I44" s="630"/>
      <c r="J44" s="631"/>
      <c r="K44" s="630"/>
      <c r="L44" s="630"/>
      <c r="M44" s="630"/>
      <c r="N44" s="904">
        <v>2</v>
      </c>
      <c r="O44" s="629">
        <f>'FORMATO PROPUESTA ECONÓMICA'!E42</f>
        <v>0</v>
      </c>
      <c r="P44" s="911">
        <f t="shared" si="2"/>
        <v>0</v>
      </c>
      <c r="Q44" s="872"/>
      <c r="R44" s="875"/>
      <c r="S44" s="1121"/>
    </row>
    <row r="45" spans="2:19" x14ac:dyDescent="0.25">
      <c r="B45" s="866"/>
      <c r="C45" s="870" t="e">
        <f>'FORMATO PROPUESTA ECONÓMICA'!#REF!</f>
        <v>#REF!</v>
      </c>
      <c r="D45" s="873"/>
      <c r="E45" s="620">
        <f>'7. Presup. Sector 3 '!E45</f>
        <v>6.11</v>
      </c>
      <c r="F45" s="633" t="s">
        <v>386</v>
      </c>
      <c r="G45" s="628" t="s">
        <v>79</v>
      </c>
      <c r="H45" s="629"/>
      <c r="I45" s="630"/>
      <c r="J45" s="631"/>
      <c r="K45" s="630"/>
      <c r="L45" s="630"/>
      <c r="M45" s="630"/>
      <c r="N45" s="904">
        <v>17</v>
      </c>
      <c r="O45" s="629">
        <f>'FORMATO PROPUESTA ECONÓMICA'!E43</f>
        <v>0</v>
      </c>
      <c r="P45" s="911">
        <f t="shared" si="2"/>
        <v>0</v>
      </c>
      <c r="Q45" s="872"/>
      <c r="R45" s="875"/>
      <c r="S45" s="1121"/>
    </row>
    <row r="46" spans="2:19" hidden="1" x14ac:dyDescent="0.25">
      <c r="B46" s="866"/>
      <c r="C46" s="870"/>
      <c r="D46" s="873"/>
      <c r="E46" s="620">
        <f>'7. Presup. Sector 3 '!E46</f>
        <v>6.12</v>
      </c>
      <c r="F46" s="633" t="s">
        <v>445</v>
      </c>
      <c r="G46" s="628" t="s">
        <v>79</v>
      </c>
      <c r="H46" s="629"/>
      <c r="I46" s="630"/>
      <c r="J46" s="631"/>
      <c r="K46" s="630"/>
      <c r="L46" s="630"/>
      <c r="M46" s="630"/>
      <c r="N46" s="896"/>
      <c r="O46" s="629">
        <f>'FORMATO PROPUESTA ECONÓMICA'!E44</f>
        <v>0</v>
      </c>
      <c r="P46" s="911"/>
      <c r="Q46" s="872"/>
      <c r="R46" s="875"/>
      <c r="S46" s="1121"/>
    </row>
    <row r="47" spans="2:19" hidden="1" x14ac:dyDescent="0.25">
      <c r="B47" s="866"/>
      <c r="C47" s="870" t="e">
        <f>'FORMATO PROPUESTA ECONÓMICA'!#REF!</f>
        <v>#REF!</v>
      </c>
      <c r="D47" s="873"/>
      <c r="E47" s="620">
        <f>'7. Presup. Sector 3 '!E47</f>
        <v>6.13</v>
      </c>
      <c r="F47" s="633" t="s">
        <v>387</v>
      </c>
      <c r="G47" s="628" t="s">
        <v>79</v>
      </c>
      <c r="H47" s="629"/>
      <c r="I47" s="630"/>
      <c r="J47" s="631"/>
      <c r="K47" s="630"/>
      <c r="L47" s="630"/>
      <c r="M47" s="630"/>
      <c r="N47" s="904"/>
      <c r="O47" s="629">
        <f>'FORMATO PROPUESTA ECONÓMICA'!E45</f>
        <v>0</v>
      </c>
      <c r="P47" s="911">
        <f t="shared" si="2"/>
        <v>0</v>
      </c>
      <c r="Q47" s="872"/>
      <c r="R47" s="875"/>
      <c r="S47" s="1121"/>
    </row>
    <row r="48" spans="2:19" hidden="1" x14ac:dyDescent="0.25">
      <c r="B48" s="866"/>
      <c r="C48" s="870" t="e">
        <f>'FORMATO PROPUESTA ECONÓMICA'!#REF!</f>
        <v>#REF!</v>
      </c>
      <c r="D48" s="873"/>
      <c r="E48" s="620">
        <f>'7. Presup. Sector 3 '!E48</f>
        <v>6.14</v>
      </c>
      <c r="F48" s="633" t="s">
        <v>388</v>
      </c>
      <c r="G48" s="628" t="s">
        <v>79</v>
      </c>
      <c r="H48" s="629"/>
      <c r="I48" s="630"/>
      <c r="J48" s="631"/>
      <c r="K48" s="630"/>
      <c r="L48" s="630"/>
      <c r="M48" s="630"/>
      <c r="N48" s="904"/>
      <c r="O48" s="629">
        <f>'FORMATO PROPUESTA ECONÓMICA'!E46</f>
        <v>0</v>
      </c>
      <c r="P48" s="911">
        <f t="shared" si="2"/>
        <v>0</v>
      </c>
      <c r="Q48" s="872"/>
      <c r="R48" s="875"/>
      <c r="S48" s="1121"/>
    </row>
    <row r="49" spans="2:19" hidden="1" x14ac:dyDescent="0.25">
      <c r="B49" s="866"/>
      <c r="C49" s="870" t="e">
        <f>'FORMATO PROPUESTA ECONÓMICA'!#REF!</f>
        <v>#REF!</v>
      </c>
      <c r="D49" s="873"/>
      <c r="E49" s="620">
        <f>'7. Presup. Sector 3 '!E49</f>
        <v>6.15</v>
      </c>
      <c r="F49" s="633" t="s">
        <v>389</v>
      </c>
      <c r="G49" s="628" t="s">
        <v>79</v>
      </c>
      <c r="H49" s="629"/>
      <c r="I49" s="630"/>
      <c r="J49" s="631"/>
      <c r="K49" s="630"/>
      <c r="L49" s="630"/>
      <c r="M49" s="630"/>
      <c r="N49" s="904"/>
      <c r="O49" s="629">
        <f>'FORMATO PROPUESTA ECONÓMICA'!E47</f>
        <v>0</v>
      </c>
      <c r="P49" s="911">
        <f t="shared" si="2"/>
        <v>0</v>
      </c>
      <c r="Q49" s="872"/>
      <c r="R49" s="875"/>
      <c r="S49" s="1121"/>
    </row>
    <row r="50" spans="2:19" x14ac:dyDescent="0.25">
      <c r="B50" s="866"/>
      <c r="C50" s="870" t="e">
        <f>'FORMATO PROPUESTA ECONÓMICA'!#REF!</f>
        <v>#REF!</v>
      </c>
      <c r="D50" s="873"/>
      <c r="E50" s="620">
        <f>'7. Presup. Sector 3 '!E50</f>
        <v>6.16</v>
      </c>
      <c r="F50" s="633" t="s">
        <v>390</v>
      </c>
      <c r="G50" s="628" t="s">
        <v>79</v>
      </c>
      <c r="H50" s="629"/>
      <c r="I50" s="630"/>
      <c r="J50" s="631"/>
      <c r="K50" s="630"/>
      <c r="L50" s="630"/>
      <c r="M50" s="630"/>
      <c r="N50" s="904">
        <v>10</v>
      </c>
      <c r="O50" s="629">
        <f>'FORMATO PROPUESTA ECONÓMICA'!E48</f>
        <v>0</v>
      </c>
      <c r="P50" s="911">
        <f t="shared" si="2"/>
        <v>0</v>
      </c>
      <c r="Q50" s="872"/>
      <c r="R50" s="875"/>
      <c r="S50" s="1121"/>
    </row>
    <row r="51" spans="2:19" x14ac:dyDescent="0.25">
      <c r="B51" s="866"/>
      <c r="C51" s="870" t="e">
        <f>'FORMATO PROPUESTA ECONÓMICA'!#REF!</f>
        <v>#REF!</v>
      </c>
      <c r="D51" s="873"/>
      <c r="E51" s="620">
        <f>'7. Presup. Sector 3 '!E51</f>
        <v>6.17</v>
      </c>
      <c r="F51" s="633" t="s">
        <v>391</v>
      </c>
      <c r="G51" s="628" t="s">
        <v>79</v>
      </c>
      <c r="H51" s="629"/>
      <c r="I51" s="630"/>
      <c r="J51" s="631"/>
      <c r="K51" s="630"/>
      <c r="L51" s="630"/>
      <c r="M51" s="630"/>
      <c r="N51" s="904">
        <v>18</v>
      </c>
      <c r="O51" s="629">
        <f>'FORMATO PROPUESTA ECONÓMICA'!E49</f>
        <v>0</v>
      </c>
      <c r="P51" s="911">
        <f t="shared" si="2"/>
        <v>0</v>
      </c>
      <c r="Q51" s="872"/>
      <c r="R51" s="875"/>
      <c r="S51" s="1121"/>
    </row>
    <row r="52" spans="2:19" hidden="1" x14ac:dyDescent="0.25">
      <c r="B52" s="866"/>
      <c r="C52" s="870" t="e">
        <f>'FORMATO PROPUESTA ECONÓMICA'!#REF!</f>
        <v>#REF!</v>
      </c>
      <c r="D52" s="873"/>
      <c r="E52" s="620">
        <f>'7. Presup. Sector 3 '!E52</f>
        <v>6.18</v>
      </c>
      <c r="F52" s="633" t="s">
        <v>392</v>
      </c>
      <c r="G52" s="628" t="s">
        <v>79</v>
      </c>
      <c r="H52" s="629"/>
      <c r="I52" s="630"/>
      <c r="J52" s="631"/>
      <c r="K52" s="630"/>
      <c r="L52" s="630"/>
      <c r="M52" s="630"/>
      <c r="N52" s="904"/>
      <c r="O52" s="629">
        <f>'FORMATO PROPUESTA ECONÓMICA'!E50</f>
        <v>0</v>
      </c>
      <c r="P52" s="911">
        <f t="shared" si="2"/>
        <v>0</v>
      </c>
      <c r="Q52" s="872"/>
      <c r="R52" s="875"/>
      <c r="S52" s="1121"/>
    </row>
    <row r="53" spans="2:19" hidden="1" x14ac:dyDescent="0.25">
      <c r="B53" s="866"/>
      <c r="C53" s="870" t="e">
        <f>'FORMATO PROPUESTA ECONÓMICA'!#REF!</f>
        <v>#REF!</v>
      </c>
      <c r="D53" s="873"/>
      <c r="E53" s="620">
        <f>'7. Presup. Sector 3 '!E53</f>
        <v>6.19</v>
      </c>
      <c r="F53" s="633" t="s">
        <v>393</v>
      </c>
      <c r="G53" s="628" t="s">
        <v>79</v>
      </c>
      <c r="H53" s="629"/>
      <c r="I53" s="630"/>
      <c r="J53" s="631"/>
      <c r="K53" s="630"/>
      <c r="L53" s="630"/>
      <c r="M53" s="630"/>
      <c r="N53" s="904"/>
      <c r="O53" s="629">
        <f>'FORMATO PROPUESTA ECONÓMICA'!E51</f>
        <v>0</v>
      </c>
      <c r="P53" s="911">
        <f t="shared" si="2"/>
        <v>0</v>
      </c>
      <c r="Q53" s="872"/>
      <c r="R53" s="875"/>
      <c r="S53" s="1121"/>
    </row>
    <row r="54" spans="2:19" x14ac:dyDescent="0.25">
      <c r="B54" s="866"/>
      <c r="C54" s="870" t="e">
        <f>'FORMATO PROPUESTA ECONÓMICA'!#REF!</f>
        <v>#REF!</v>
      </c>
      <c r="D54" s="873"/>
      <c r="E54" s="620">
        <f>'7. Presup. Sector 3 '!E54</f>
        <v>6.2</v>
      </c>
      <c r="F54" s="633" t="s">
        <v>394</v>
      </c>
      <c r="G54" s="628" t="s">
        <v>79</v>
      </c>
      <c r="H54" s="629"/>
      <c r="I54" s="630"/>
      <c r="J54" s="631"/>
      <c r="K54" s="630"/>
      <c r="L54" s="630"/>
      <c r="M54" s="630"/>
      <c r="N54" s="904">
        <v>1</v>
      </c>
      <c r="O54" s="629">
        <f>'FORMATO PROPUESTA ECONÓMICA'!E52</f>
        <v>0</v>
      </c>
      <c r="P54" s="911">
        <f t="shared" si="2"/>
        <v>0</v>
      </c>
      <c r="Q54" s="872"/>
      <c r="R54" s="875"/>
      <c r="S54" s="1121"/>
    </row>
    <row r="55" spans="2:19" x14ac:dyDescent="0.25">
      <c r="B55" s="866"/>
      <c r="C55" s="870" t="e">
        <f>'FORMATO PROPUESTA ECONÓMICA'!#REF!</f>
        <v>#REF!</v>
      </c>
      <c r="D55" s="873"/>
      <c r="E55" s="620">
        <f>'7. Presup. Sector 3 '!E55</f>
        <v>6.21</v>
      </c>
      <c r="F55" s="633" t="s">
        <v>395</v>
      </c>
      <c r="G55" s="628" t="s">
        <v>79</v>
      </c>
      <c r="H55" s="629"/>
      <c r="I55" s="630"/>
      <c r="J55" s="631"/>
      <c r="K55" s="630"/>
      <c r="L55" s="630"/>
      <c r="M55" s="630"/>
      <c r="N55" s="904">
        <v>1</v>
      </c>
      <c r="O55" s="629">
        <f>'FORMATO PROPUESTA ECONÓMICA'!E53</f>
        <v>0</v>
      </c>
      <c r="P55" s="911">
        <f t="shared" si="2"/>
        <v>0</v>
      </c>
      <c r="Q55" s="872"/>
      <c r="R55" s="875"/>
      <c r="S55" s="1121"/>
    </row>
    <row r="56" spans="2:19" x14ac:dyDescent="0.25">
      <c r="B56" s="866"/>
      <c r="C56" s="870" t="e">
        <f>'FORMATO PROPUESTA ECONÓMICA'!#REF!</f>
        <v>#REF!</v>
      </c>
      <c r="D56" s="873"/>
      <c r="E56" s="620">
        <f>'7. Presup. Sector 3 '!E56</f>
        <v>6.22</v>
      </c>
      <c r="F56" s="633" t="s">
        <v>396</v>
      </c>
      <c r="G56" s="628" t="s">
        <v>79</v>
      </c>
      <c r="H56" s="629"/>
      <c r="I56" s="630"/>
      <c r="J56" s="631"/>
      <c r="K56" s="630"/>
      <c r="L56" s="630"/>
      <c r="M56" s="630"/>
      <c r="N56" s="904">
        <v>3</v>
      </c>
      <c r="O56" s="629">
        <f>'FORMATO PROPUESTA ECONÓMICA'!E54</f>
        <v>0</v>
      </c>
      <c r="P56" s="911">
        <f t="shared" si="2"/>
        <v>0</v>
      </c>
      <c r="Q56" s="872"/>
      <c r="R56" s="875"/>
      <c r="S56" s="1121"/>
    </row>
    <row r="57" spans="2:19" hidden="1" x14ac:dyDescent="0.25">
      <c r="B57" s="866"/>
      <c r="C57" s="870" t="e">
        <f>'FORMATO PROPUESTA ECONÓMICA'!#REF!</f>
        <v>#REF!</v>
      </c>
      <c r="D57" s="873"/>
      <c r="E57" s="620">
        <f>'7. Presup. Sector 3 '!E57</f>
        <v>6.23</v>
      </c>
      <c r="F57" s="633" t="s">
        <v>397</v>
      </c>
      <c r="G57" s="628" t="s">
        <v>79</v>
      </c>
      <c r="H57" s="629"/>
      <c r="I57" s="630"/>
      <c r="J57" s="631"/>
      <c r="K57" s="630"/>
      <c r="L57" s="630"/>
      <c r="M57" s="630"/>
      <c r="N57" s="904"/>
      <c r="O57" s="629">
        <f>'FORMATO PROPUESTA ECONÓMICA'!E55</f>
        <v>0</v>
      </c>
      <c r="P57" s="911">
        <f t="shared" si="2"/>
        <v>0</v>
      </c>
      <c r="Q57" s="872"/>
      <c r="R57" s="875"/>
      <c r="S57" s="1121"/>
    </row>
    <row r="58" spans="2:19" x14ac:dyDescent="0.25">
      <c r="B58" s="866"/>
      <c r="C58" s="870" t="e">
        <f>'FORMATO PROPUESTA ECONÓMICA'!#REF!</f>
        <v>#REF!</v>
      </c>
      <c r="D58" s="873"/>
      <c r="E58" s="620">
        <f>'7. Presup. Sector 3 '!E58</f>
        <v>6.24</v>
      </c>
      <c r="F58" s="633" t="s">
        <v>398</v>
      </c>
      <c r="G58" s="628" t="s">
        <v>79</v>
      </c>
      <c r="H58" s="629"/>
      <c r="I58" s="630"/>
      <c r="J58" s="631"/>
      <c r="K58" s="630"/>
      <c r="L58" s="630"/>
      <c r="M58" s="630"/>
      <c r="N58" s="904">
        <f>N87</f>
        <v>30</v>
      </c>
      <c r="O58" s="629">
        <f>'FORMATO PROPUESTA ECONÓMICA'!E56</f>
        <v>0</v>
      </c>
      <c r="P58" s="911">
        <f t="shared" si="2"/>
        <v>0</v>
      </c>
      <c r="Q58" s="872"/>
      <c r="R58" s="875"/>
      <c r="S58" s="1121"/>
    </row>
    <row r="59" spans="2:19" x14ac:dyDescent="0.25">
      <c r="B59" s="866"/>
      <c r="C59" s="870" t="e">
        <f>'FORMATO PROPUESTA ECONÓMICA'!#REF!</f>
        <v>#REF!</v>
      </c>
      <c r="D59" s="873"/>
      <c r="E59" s="620">
        <f>'7. Presup. Sector 3 '!E59</f>
        <v>6.25</v>
      </c>
      <c r="F59" s="633" t="s">
        <v>399</v>
      </c>
      <c r="G59" s="628" t="s">
        <v>79</v>
      </c>
      <c r="H59" s="629"/>
      <c r="I59" s="630"/>
      <c r="J59" s="631"/>
      <c r="K59" s="630"/>
      <c r="L59" s="630"/>
      <c r="M59" s="630"/>
      <c r="N59" s="904">
        <v>8</v>
      </c>
      <c r="O59" s="629">
        <f>'FORMATO PROPUESTA ECONÓMICA'!E57</f>
        <v>0</v>
      </c>
      <c r="P59" s="911">
        <f t="shared" si="2"/>
        <v>0</v>
      </c>
      <c r="Q59" s="872"/>
      <c r="R59" s="875"/>
      <c r="S59" s="1121"/>
    </row>
    <row r="60" spans="2:19" x14ac:dyDescent="0.25">
      <c r="B60" s="866"/>
      <c r="C60" s="870" t="e">
        <f>'FORMATO PROPUESTA ECONÓMICA'!#REF!</f>
        <v>#REF!</v>
      </c>
      <c r="D60" s="873"/>
      <c r="E60" s="620">
        <f>'7. Presup. Sector 3 '!E60</f>
        <v>6.26</v>
      </c>
      <c r="F60" s="633" t="s">
        <v>400</v>
      </c>
      <c r="G60" s="628" t="s">
        <v>79</v>
      </c>
      <c r="H60" s="629"/>
      <c r="I60" s="630"/>
      <c r="J60" s="631"/>
      <c r="K60" s="630"/>
      <c r="L60" s="630"/>
      <c r="M60" s="630"/>
      <c r="N60" s="904">
        <v>2</v>
      </c>
      <c r="O60" s="629">
        <f>'FORMATO PROPUESTA ECONÓMICA'!E58</f>
        <v>0</v>
      </c>
      <c r="P60" s="911">
        <f t="shared" si="2"/>
        <v>0</v>
      </c>
      <c r="Q60" s="872"/>
      <c r="R60" s="875"/>
      <c r="S60" s="1121"/>
    </row>
    <row r="61" spans="2:19" x14ac:dyDescent="0.25">
      <c r="B61" s="866"/>
      <c r="C61" s="870" t="e">
        <f>'FORMATO PROPUESTA ECONÓMICA'!#REF!</f>
        <v>#REF!</v>
      </c>
      <c r="D61" s="873"/>
      <c r="E61" s="620">
        <f>'7. Presup. Sector 3 '!E61</f>
        <v>6.27</v>
      </c>
      <c r="F61" s="633" t="s">
        <v>401</v>
      </c>
      <c r="G61" s="628" t="s">
        <v>79</v>
      </c>
      <c r="H61" s="629"/>
      <c r="I61" s="630"/>
      <c r="J61" s="631"/>
      <c r="K61" s="630"/>
      <c r="L61" s="630"/>
      <c r="M61" s="630"/>
      <c r="N61" s="904">
        <v>2</v>
      </c>
      <c r="O61" s="629">
        <f>'FORMATO PROPUESTA ECONÓMICA'!E59</f>
        <v>0</v>
      </c>
      <c r="P61" s="911">
        <f t="shared" si="2"/>
        <v>0</v>
      </c>
      <c r="Q61" s="872"/>
      <c r="R61" s="875"/>
      <c r="S61" s="1121"/>
    </row>
    <row r="62" spans="2:19" ht="30" hidden="1" x14ac:dyDescent="0.25">
      <c r="B62" s="866"/>
      <c r="C62" s="870" t="e">
        <f>'FORMATO PROPUESTA ECONÓMICA'!#REF!</f>
        <v>#REF!</v>
      </c>
      <c r="D62" s="873"/>
      <c r="E62" s="620">
        <f>'7. Presup. Sector 3 '!E62</f>
        <v>6.28</v>
      </c>
      <c r="F62" s="633" t="s">
        <v>80</v>
      </c>
      <c r="G62" s="628" t="s">
        <v>79</v>
      </c>
      <c r="H62" s="629"/>
      <c r="I62" s="630"/>
      <c r="J62" s="631"/>
      <c r="K62" s="630"/>
      <c r="L62" s="630"/>
      <c r="M62" s="630"/>
      <c r="N62" s="904"/>
      <c r="O62" s="629">
        <f>'FORMATO PROPUESTA ECONÓMICA'!E60</f>
        <v>0</v>
      </c>
      <c r="P62" s="911">
        <f t="shared" si="2"/>
        <v>0</v>
      </c>
      <c r="Q62" s="872"/>
      <c r="R62" s="875"/>
      <c r="S62" s="1121"/>
    </row>
    <row r="63" spans="2:19" ht="30" hidden="1" x14ac:dyDescent="0.25">
      <c r="B63" s="866"/>
      <c r="C63" s="870" t="e">
        <f>'FORMATO PROPUESTA ECONÓMICA'!#REF!</f>
        <v>#REF!</v>
      </c>
      <c r="D63" s="873"/>
      <c r="E63" s="620">
        <f>'7. Presup. Sector 3 '!E63</f>
        <v>6.29</v>
      </c>
      <c r="F63" s="633" t="s">
        <v>81</v>
      </c>
      <c r="G63" s="628" t="s">
        <v>79</v>
      </c>
      <c r="H63" s="629"/>
      <c r="I63" s="630"/>
      <c r="J63" s="631"/>
      <c r="K63" s="630"/>
      <c r="L63" s="630"/>
      <c r="M63" s="630"/>
      <c r="N63" s="904"/>
      <c r="O63" s="629">
        <f>'FORMATO PROPUESTA ECONÓMICA'!E61</f>
        <v>0</v>
      </c>
      <c r="P63" s="911">
        <f t="shared" si="2"/>
        <v>0</v>
      </c>
      <c r="Q63" s="872"/>
      <c r="R63" s="875"/>
      <c r="S63" s="1121"/>
    </row>
    <row r="64" spans="2:19" ht="30" x14ac:dyDescent="0.25">
      <c r="B64" s="866" t="str">
        <f>+'[3]1. Colector Principal'!C40</f>
        <v>Suministro, transporte y colocación de entresuelo para cimentaciones y apoyo de tubería:</v>
      </c>
      <c r="C64" s="874" t="e">
        <f>'FORMATO PROPUESTA ECONÓMICA'!#REF!</f>
        <v>#REF!</v>
      </c>
      <c r="D64" s="807"/>
      <c r="E64" s="732">
        <f>'7. Presup. Sector 3 '!E64</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937"/>
      <c r="O64" s="39"/>
      <c r="P64" s="912"/>
      <c r="Q64" s="872"/>
      <c r="R64" s="875"/>
      <c r="S64" s="1121"/>
    </row>
    <row r="65" spans="2:19" ht="17.25" customHeight="1" x14ac:dyDescent="0.25">
      <c r="B65" s="866" t="str">
        <f>+'[3]1. Colector Principal'!C41</f>
        <v>S.T.I Lleno con triturado 3/4" (19mm) y 1" (25mm)</v>
      </c>
      <c r="C65" s="870" t="e">
        <f>'FORMATO PROPUESTA ECONÓMICA'!#REF!</f>
        <v>#REF!</v>
      </c>
      <c r="D65" s="873"/>
      <c r="E65" s="634">
        <f>'7. Presup. Sector 3 '!E65</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904">
        <f>800*6</f>
        <v>4800</v>
      </c>
      <c r="O65" s="629">
        <f>'FORMATO PROPUESTA ECONÓMICA'!E63</f>
        <v>0</v>
      </c>
      <c r="P65" s="911">
        <f t="shared" ref="P65:P79" si="3">IF(ISERROR(+N65*O65),"",+N65*O65)</f>
        <v>0</v>
      </c>
      <c r="Q65" s="872"/>
      <c r="R65" s="875"/>
      <c r="S65" s="1121"/>
    </row>
    <row r="66" spans="2:19" ht="30" hidden="1" x14ac:dyDescent="0.25">
      <c r="B66" s="866" t="str">
        <f>+'[3]1. Colector Principal'!C42</f>
        <v>S.T.I Lleno con arenilla 3/4" (19mm) y 1" (25mm)</v>
      </c>
      <c r="C66" s="870" t="e">
        <f>'FORMATO PROPUESTA ECONÓMICA'!#REF!</f>
        <v>#REF!</v>
      </c>
      <c r="D66" s="873"/>
      <c r="E66" s="634">
        <f>'7. Presup. Sector 3 '!E66</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904"/>
      <c r="O66" s="629">
        <f>'FORMATO PROPUESTA ECONÓMICA'!E64</f>
        <v>0</v>
      </c>
      <c r="P66" s="911">
        <f t="shared" si="3"/>
        <v>0</v>
      </c>
      <c r="Q66" s="872"/>
      <c r="R66" s="875"/>
      <c r="S66" s="1121"/>
    </row>
    <row r="67" spans="2:19" hidden="1" x14ac:dyDescent="0.25">
      <c r="B67" s="866"/>
      <c r="C67" s="870" t="e">
        <f>'FORMATO PROPUESTA ECONÓMICA'!#REF!</f>
        <v>#REF!</v>
      </c>
      <c r="D67" s="873"/>
      <c r="E67" s="634">
        <f>'7. Presup. Sector 3 '!E67</f>
        <v>7.3</v>
      </c>
      <c r="F67" s="633" t="s">
        <v>424</v>
      </c>
      <c r="G67" s="628" t="s">
        <v>79</v>
      </c>
      <c r="H67" s="629"/>
      <c r="I67" s="630"/>
      <c r="J67" s="631"/>
      <c r="K67" s="630"/>
      <c r="L67" s="630"/>
      <c r="M67" s="630"/>
      <c r="N67" s="904"/>
      <c r="O67" s="629">
        <f>'FORMATO PROPUESTA ECONÓMICA'!E65</f>
        <v>0</v>
      </c>
      <c r="P67" s="911">
        <f t="shared" si="3"/>
        <v>0</v>
      </c>
      <c r="Q67" s="872"/>
      <c r="R67" s="875"/>
      <c r="S67" s="1121"/>
    </row>
    <row r="68" spans="2:19" hidden="1" x14ac:dyDescent="0.25">
      <c r="B68" s="866"/>
      <c r="C68" s="870" t="e">
        <f>'FORMATO PROPUESTA ECONÓMICA'!#REF!</f>
        <v>#REF!</v>
      </c>
      <c r="D68" s="873"/>
      <c r="E68" s="634">
        <f>'7. Presup. Sector 3 '!E68</f>
        <v>7.4</v>
      </c>
      <c r="F68" s="633" t="s">
        <v>426</v>
      </c>
      <c r="G68" s="628" t="s">
        <v>79</v>
      </c>
      <c r="H68" s="629"/>
      <c r="I68" s="630"/>
      <c r="J68" s="631"/>
      <c r="K68" s="630"/>
      <c r="L68" s="630"/>
      <c r="M68" s="630"/>
      <c r="N68" s="904"/>
      <c r="O68" s="629">
        <f>'FORMATO PROPUESTA ECONÓMICA'!E66</f>
        <v>0</v>
      </c>
      <c r="P68" s="911">
        <f t="shared" si="3"/>
        <v>0</v>
      </c>
      <c r="Q68" s="872"/>
      <c r="R68" s="875"/>
      <c r="S68" s="1121"/>
    </row>
    <row r="69" spans="2:19" x14ac:dyDescent="0.25">
      <c r="B69" s="866"/>
      <c r="C69" s="870" t="e">
        <f>'FORMATO PROPUESTA ECONÓMICA'!#REF!</f>
        <v>#REF!</v>
      </c>
      <c r="D69" s="873"/>
      <c r="E69" s="634">
        <f>'7. Presup. Sector 3 '!E69</f>
        <v>7.5</v>
      </c>
      <c r="F69" s="633" t="s">
        <v>425</v>
      </c>
      <c r="G69" s="628" t="s">
        <v>79</v>
      </c>
      <c r="H69" s="629"/>
      <c r="I69" s="630"/>
      <c r="J69" s="631"/>
      <c r="K69" s="630"/>
      <c r="L69" s="630"/>
      <c r="M69" s="630"/>
      <c r="N69" s="904">
        <v>675</v>
      </c>
      <c r="O69" s="629">
        <f>'FORMATO PROPUESTA ECONÓMICA'!E67</f>
        <v>0</v>
      </c>
      <c r="P69" s="911">
        <f t="shared" si="3"/>
        <v>0</v>
      </c>
      <c r="Q69" s="872"/>
      <c r="R69" s="875"/>
      <c r="S69" s="1121"/>
    </row>
    <row r="70" spans="2:19" hidden="1" x14ac:dyDescent="0.25">
      <c r="B70" s="866"/>
      <c r="C70" s="870" t="e">
        <f>'FORMATO PROPUESTA ECONÓMICA'!#REF!</f>
        <v>#REF!</v>
      </c>
      <c r="D70" s="873"/>
      <c r="E70" s="634">
        <f>'7. Presup. Sector 3 '!E70</f>
        <v>7.6</v>
      </c>
      <c r="F70" s="633" t="s">
        <v>427</v>
      </c>
      <c r="G70" s="628" t="s">
        <v>79</v>
      </c>
      <c r="H70" s="629"/>
      <c r="I70" s="630"/>
      <c r="J70" s="631"/>
      <c r="K70" s="630"/>
      <c r="L70" s="630"/>
      <c r="M70" s="630"/>
      <c r="N70" s="904"/>
      <c r="O70" s="629">
        <f>'FORMATO PROPUESTA ECONÓMICA'!E68</f>
        <v>0</v>
      </c>
      <c r="P70" s="911">
        <f t="shared" si="3"/>
        <v>0</v>
      </c>
      <c r="Q70" s="872"/>
      <c r="R70" s="875"/>
      <c r="S70" s="1121"/>
    </row>
    <row r="71" spans="2:19" x14ac:dyDescent="0.25">
      <c r="B71" s="866"/>
      <c r="C71" s="870" t="e">
        <f>'FORMATO PROPUESTA ECONÓMICA'!#REF!</f>
        <v>#REF!</v>
      </c>
      <c r="D71" s="873"/>
      <c r="E71" s="634">
        <f>'7. Presup. Sector 3 '!E71</f>
        <v>7.7</v>
      </c>
      <c r="F71" s="633" t="s">
        <v>429</v>
      </c>
      <c r="G71" s="628" t="s">
        <v>79</v>
      </c>
      <c r="H71" s="629"/>
      <c r="I71" s="630"/>
      <c r="J71" s="631"/>
      <c r="K71" s="630"/>
      <c r="L71" s="630"/>
      <c r="M71" s="630"/>
      <c r="N71" s="896">
        <v>125</v>
      </c>
      <c r="O71" s="629">
        <f>'FORMATO PROPUESTA ECONÓMICA'!E69</f>
        <v>0</v>
      </c>
      <c r="P71" s="911">
        <f t="shared" si="3"/>
        <v>0</v>
      </c>
      <c r="Q71" s="872"/>
      <c r="R71" s="875"/>
      <c r="S71" s="1121"/>
    </row>
    <row r="72" spans="2:19" x14ac:dyDescent="0.25">
      <c r="B72" s="866"/>
      <c r="C72" s="870" t="e">
        <f>'FORMATO PROPUESTA ECONÓMICA'!#REF!</f>
        <v>#REF!</v>
      </c>
      <c r="D72" s="873"/>
      <c r="E72" s="634">
        <f>'7. Presup. Sector 3 '!E72</f>
        <v>7.8</v>
      </c>
      <c r="F72" s="633" t="s">
        <v>342</v>
      </c>
      <c r="G72" s="628" t="s">
        <v>79</v>
      </c>
      <c r="H72" s="629"/>
      <c r="I72" s="630"/>
      <c r="J72" s="631"/>
      <c r="K72" s="630"/>
      <c r="L72" s="630"/>
      <c r="M72" s="630"/>
      <c r="N72" s="904">
        <f>N69+N71</f>
        <v>800</v>
      </c>
      <c r="O72" s="629">
        <f>'FORMATO PROPUESTA ECONÓMICA'!E70</f>
        <v>0</v>
      </c>
      <c r="P72" s="911">
        <f t="shared" si="3"/>
        <v>0</v>
      </c>
      <c r="Q72" s="872"/>
      <c r="R72" s="875"/>
      <c r="S72" s="1121"/>
    </row>
    <row r="73" spans="2:19" hidden="1" x14ac:dyDescent="0.25">
      <c r="B73" s="866" t="str">
        <f>+'[3]1. Colector Principal'!C43</f>
        <v>Corte, rotura y retiro de pavimento:</v>
      </c>
      <c r="C73" s="870" t="e">
        <f>'FORMATO PROPUESTA ECONÓMICA'!#REF!</f>
        <v>#REF!</v>
      </c>
      <c r="D73" s="873"/>
      <c r="E73" s="620">
        <f>'7. Presup. Sector 3 '!E73</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904"/>
      <c r="O73" s="629">
        <f>'FORMATO PROPUESTA ECONÓMICA'!E71</f>
        <v>0</v>
      </c>
      <c r="P73" s="911">
        <f t="shared" si="3"/>
        <v>0</v>
      </c>
      <c r="Q73" s="872"/>
      <c r="R73" s="875"/>
      <c r="S73" s="1121"/>
    </row>
    <row r="74" spans="2:19" x14ac:dyDescent="0.25">
      <c r="B74" s="866" t="str">
        <f>+'[3]1. Colector Principal'!C44</f>
        <v>Corte, rotura y retiro de pavimento rigido</v>
      </c>
      <c r="C74" s="870" t="e">
        <f>'FORMATO PROPUESTA ECONÓMICA'!#REF!</f>
        <v>#REF!</v>
      </c>
      <c r="D74" s="873"/>
      <c r="E74" s="620">
        <f>'7. Presup. Sector 3 '!E74</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904">
        <v>800</v>
      </c>
      <c r="O74" s="629">
        <f>'FORMATO PROPUESTA ECONÓMICA'!E72</f>
        <v>0</v>
      </c>
      <c r="P74" s="911">
        <f t="shared" si="3"/>
        <v>0</v>
      </c>
      <c r="Q74" s="872"/>
      <c r="R74" s="875"/>
      <c r="S74" s="1121"/>
    </row>
    <row r="75" spans="2:19" x14ac:dyDescent="0.25">
      <c r="B75" s="866" t="str">
        <f>+'[3]1. Colector Principal'!C45</f>
        <v xml:space="preserve">Corte, rotura y retiro de pavimento flexible </v>
      </c>
      <c r="C75" s="870" t="e">
        <f>'FORMATO PROPUESTA ECONÓMICA'!#REF!</f>
        <v>#REF!</v>
      </c>
      <c r="D75" s="873"/>
      <c r="E75" s="620">
        <f>'7. Presup. Sector 3 '!E75</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904">
        <v>800</v>
      </c>
      <c r="O75" s="629">
        <f>'FORMATO PROPUESTA ECONÓMICA'!E73</f>
        <v>0</v>
      </c>
      <c r="P75" s="911">
        <f t="shared" si="3"/>
        <v>0</v>
      </c>
      <c r="Q75" s="872"/>
      <c r="R75" s="875"/>
      <c r="S75" s="1121"/>
    </row>
    <row r="76" spans="2:19" ht="90" x14ac:dyDescent="0.25">
      <c r="C76" s="870" t="e">
        <f>'FORMATO PROPUESTA ECONÓMICA'!#REF!</f>
        <v>#REF!</v>
      </c>
      <c r="D76" s="873"/>
      <c r="E76" s="620">
        <f>'7. Presup. Sector 3 '!E76</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1012">
        <v>800</v>
      </c>
      <c r="O76" s="629">
        <f>'FORMATO PROPUESTA ECONÓMICA'!E74</f>
        <v>0</v>
      </c>
      <c r="P76" s="837">
        <f t="shared" si="3"/>
        <v>0</v>
      </c>
      <c r="Q76" s="872"/>
      <c r="R76" s="875"/>
      <c r="S76" s="1121"/>
    </row>
    <row r="77" spans="2:19" x14ac:dyDescent="0.25">
      <c r="B77" s="866" t="str">
        <f>+'[3]1. Colector Principal'!C47</f>
        <v>Pavimento rigido</v>
      </c>
      <c r="C77" s="870" t="e">
        <f>'FORMATO PROPUESTA ECONÓMICA'!#REF!</f>
        <v>#REF!</v>
      </c>
      <c r="D77" s="873"/>
      <c r="E77" s="620">
        <f>'7. Presup. Sector 3 '!E77</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904">
        <f>N76</f>
        <v>800</v>
      </c>
      <c r="O77" s="629">
        <f>'FORMATO PROPUESTA ECONÓMICA'!E75</f>
        <v>0</v>
      </c>
      <c r="P77" s="911">
        <f t="shared" si="3"/>
        <v>0</v>
      </c>
      <c r="Q77" s="872"/>
      <c r="R77" s="875"/>
      <c r="S77" s="1121"/>
    </row>
    <row r="78" spans="2:19" x14ac:dyDescent="0.25">
      <c r="B78" s="866" t="str">
        <f>+'[3]1. Colector Principal'!C48</f>
        <v xml:space="preserve">Pavimento flexible </v>
      </c>
      <c r="C78" s="870" t="e">
        <f>'FORMATO PROPUESTA ECONÓMICA'!#REF!</f>
        <v>#REF!</v>
      </c>
      <c r="D78" s="873"/>
      <c r="E78" s="620">
        <f>'7. Presup. Sector 3 '!E78</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904">
        <f>+N76</f>
        <v>800</v>
      </c>
      <c r="O78" s="629">
        <f>'FORMATO PROPUESTA ECONÓMICA'!E76</f>
        <v>0</v>
      </c>
      <c r="P78" s="911">
        <f t="shared" si="3"/>
        <v>0</v>
      </c>
      <c r="Q78" s="872"/>
      <c r="R78" s="875"/>
      <c r="S78" s="1121"/>
    </row>
    <row r="79" spans="2:19" x14ac:dyDescent="0.25">
      <c r="B79" s="866" t="str">
        <f>+'[3]5.Domiciliarias Colector La Yuq'!C16</f>
        <v>Reparación de andén en concreto</v>
      </c>
      <c r="C79" s="870" t="e">
        <f>'FORMATO PROPUESTA ECONÓMICA'!#REF!</f>
        <v>#REF!</v>
      </c>
      <c r="D79" s="873"/>
      <c r="E79" s="620">
        <f>'7. Presup. Sector 3 '!E79</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904">
        <f>+N77</f>
        <v>800</v>
      </c>
      <c r="O79" s="629">
        <f>'FORMATO PROPUESTA ECONÓMICA'!E77</f>
        <v>0</v>
      </c>
      <c r="P79" s="911">
        <f t="shared" si="3"/>
        <v>0</v>
      </c>
      <c r="Q79" s="872"/>
      <c r="R79" s="875"/>
      <c r="S79" s="1121"/>
    </row>
    <row r="80" spans="2:19" x14ac:dyDescent="0.25">
      <c r="B80" s="866"/>
      <c r="C80" s="874"/>
      <c r="D80" s="807"/>
      <c r="E80" s="732">
        <f>'7. Presup. Sector 3 '!E80</f>
        <v>8</v>
      </c>
      <c r="F80" s="770" t="s">
        <v>349</v>
      </c>
      <c r="G80" s="44"/>
      <c r="H80" s="39"/>
      <c r="I80" s="40"/>
      <c r="J80" s="41"/>
      <c r="K80" s="40"/>
      <c r="L80" s="40"/>
      <c r="M80" s="40"/>
      <c r="N80" s="937"/>
      <c r="O80" s="39"/>
      <c r="P80" s="912"/>
      <c r="Q80" s="872"/>
      <c r="R80" s="875"/>
      <c r="S80" s="1121"/>
    </row>
    <row r="81" spans="2:19" hidden="1" x14ac:dyDescent="0.25">
      <c r="B81" s="866"/>
      <c r="C81" s="870" t="e">
        <f>'FORMATO PROPUESTA ECONÓMICA'!#REF!</f>
        <v>#REF!</v>
      </c>
      <c r="D81" s="873"/>
      <c r="E81" s="620">
        <f>'7. Presup. Sector 3 '!E81</f>
        <v>8.1</v>
      </c>
      <c r="F81" s="633" t="s">
        <v>83</v>
      </c>
      <c r="G81" s="628" t="s">
        <v>79</v>
      </c>
      <c r="H81" s="629"/>
      <c r="I81" s="630"/>
      <c r="J81" s="631"/>
      <c r="K81" s="630"/>
      <c r="L81" s="630"/>
      <c r="M81" s="630"/>
      <c r="N81" s="901"/>
      <c r="O81" s="629">
        <f>'FORMATO PROPUESTA ECONÓMICA'!E79</f>
        <v>0</v>
      </c>
      <c r="P81" s="911">
        <f t="shared" ref="P81:P101" si="6">IF(ISERROR(+N81*O81),"",+N81*O81)</f>
        <v>0</v>
      </c>
      <c r="Q81" s="872"/>
      <c r="R81" s="875"/>
      <c r="S81" s="1121"/>
    </row>
    <row r="82" spans="2:19" hidden="1" x14ac:dyDescent="0.25">
      <c r="B82" s="866"/>
      <c r="C82" s="870" t="e">
        <f>'FORMATO PROPUESTA ECONÓMICA'!#REF!</f>
        <v>#REF!</v>
      </c>
      <c r="D82" s="873"/>
      <c r="E82" s="620">
        <f>'7. Presup. Sector 3 '!E82</f>
        <v>8.1999999999999993</v>
      </c>
      <c r="F82" s="633" t="s">
        <v>84</v>
      </c>
      <c r="G82" s="628" t="s">
        <v>79</v>
      </c>
      <c r="H82" s="629"/>
      <c r="I82" s="630"/>
      <c r="J82" s="631"/>
      <c r="K82" s="630"/>
      <c r="L82" s="630"/>
      <c r="M82" s="630"/>
      <c r="N82" s="901"/>
      <c r="O82" s="629">
        <f>'FORMATO PROPUESTA ECONÓMICA'!E80</f>
        <v>0</v>
      </c>
      <c r="P82" s="911">
        <f t="shared" si="6"/>
        <v>0</v>
      </c>
      <c r="Q82" s="872"/>
      <c r="R82" s="875"/>
      <c r="S82" s="1121"/>
    </row>
    <row r="83" spans="2:19" hidden="1" x14ac:dyDescent="0.25">
      <c r="B83" s="866"/>
      <c r="C83" s="870" t="e">
        <f>'FORMATO PROPUESTA ECONÓMICA'!#REF!</f>
        <v>#REF!</v>
      </c>
      <c r="D83" s="873"/>
      <c r="E83" s="620">
        <f>'7. Presup. Sector 3 '!E83</f>
        <v>8.3000000000000007</v>
      </c>
      <c r="F83" s="633" t="s">
        <v>85</v>
      </c>
      <c r="G83" s="628" t="s">
        <v>79</v>
      </c>
      <c r="H83" s="629"/>
      <c r="I83" s="630"/>
      <c r="J83" s="631"/>
      <c r="K83" s="630"/>
      <c r="L83" s="630"/>
      <c r="M83" s="630"/>
      <c r="N83" s="901"/>
      <c r="O83" s="629">
        <f>'FORMATO PROPUESTA ECONÓMICA'!E81</f>
        <v>0</v>
      </c>
      <c r="P83" s="911">
        <f t="shared" si="6"/>
        <v>0</v>
      </c>
      <c r="Q83" s="872"/>
      <c r="R83" s="875"/>
      <c r="S83" s="1121"/>
    </row>
    <row r="84" spans="2:19" x14ac:dyDescent="0.25">
      <c r="B84" s="866"/>
      <c r="C84" s="870" t="e">
        <f>'FORMATO PROPUESTA ECONÓMICA'!#REF!</f>
        <v>#REF!</v>
      </c>
      <c r="D84" s="873"/>
      <c r="E84" s="634">
        <f>'7. Presup. Sector 3 '!E84</f>
        <v>8.4</v>
      </c>
      <c r="F84" s="633" t="s">
        <v>86</v>
      </c>
      <c r="G84" s="628" t="s">
        <v>79</v>
      </c>
      <c r="H84" s="629"/>
      <c r="I84" s="630"/>
      <c r="J84" s="631"/>
      <c r="K84" s="630"/>
      <c r="L84" s="630"/>
      <c r="M84" s="630"/>
      <c r="N84" s="895">
        <v>2</v>
      </c>
      <c r="O84" s="629">
        <f>'FORMATO PROPUESTA ECONÓMICA'!E82</f>
        <v>0</v>
      </c>
      <c r="P84" s="911">
        <f t="shared" si="6"/>
        <v>0</v>
      </c>
      <c r="Q84" s="872"/>
      <c r="R84" s="875"/>
      <c r="S84" s="1121"/>
    </row>
    <row r="85" spans="2:19" ht="30" x14ac:dyDescent="0.25">
      <c r="B85" s="866"/>
      <c r="C85" s="870" t="e">
        <f>'FORMATO PROPUESTA ECONÓMICA'!#REF!</f>
        <v>#REF!</v>
      </c>
      <c r="D85" s="873"/>
      <c r="E85" s="634">
        <f>'7. Presup. Sector 3 '!E85</f>
        <v>8.5</v>
      </c>
      <c r="F85" s="633" t="s">
        <v>519</v>
      </c>
      <c r="G85" s="628" t="s">
        <v>79</v>
      </c>
      <c r="H85" s="629"/>
      <c r="I85" s="630"/>
      <c r="J85" s="631"/>
      <c r="K85" s="630"/>
      <c r="L85" s="630"/>
      <c r="M85" s="630"/>
      <c r="N85" s="895">
        <f>N76</f>
        <v>800</v>
      </c>
      <c r="O85" s="629">
        <f>'FORMATO PROPUESTA ECONÓMICA'!E83</f>
        <v>0</v>
      </c>
      <c r="P85" s="911">
        <f t="shared" si="6"/>
        <v>0</v>
      </c>
      <c r="Q85" s="872"/>
      <c r="R85" s="875"/>
      <c r="S85" s="1121"/>
    </row>
    <row r="86" spans="2:19" hidden="1" x14ac:dyDescent="0.25">
      <c r="B86" s="866"/>
      <c r="C86" s="870" t="e">
        <f>'FORMATO PROPUESTA ECONÓMICA'!#REF!</f>
        <v>#REF!</v>
      </c>
      <c r="D86" s="873"/>
      <c r="E86" s="634">
        <f>'7. Presup. Sector 3 '!E86</f>
        <v>8.6</v>
      </c>
      <c r="F86" s="633" t="s">
        <v>87</v>
      </c>
      <c r="G86" s="628" t="s">
        <v>79</v>
      </c>
      <c r="H86" s="629"/>
      <c r="I86" s="630"/>
      <c r="J86" s="631"/>
      <c r="K86" s="630"/>
      <c r="L86" s="630"/>
      <c r="M86" s="630"/>
      <c r="N86" s="895"/>
      <c r="O86" s="629">
        <f>'FORMATO PROPUESTA ECONÓMICA'!E84</f>
        <v>0</v>
      </c>
      <c r="P86" s="911">
        <f t="shared" si="6"/>
        <v>0</v>
      </c>
      <c r="Q86" s="872"/>
      <c r="R86" s="875"/>
      <c r="S86" s="1121"/>
    </row>
    <row r="87" spans="2:19" x14ac:dyDescent="0.25">
      <c r="B87" s="866"/>
      <c r="C87" s="870" t="e">
        <f>'FORMATO PROPUESTA ECONÓMICA'!#REF!</f>
        <v>#REF!</v>
      </c>
      <c r="D87" s="873"/>
      <c r="E87" s="634">
        <f>'7. Presup. Sector 3 '!E87</f>
        <v>8.6999999999999993</v>
      </c>
      <c r="F87" s="633" t="s">
        <v>88</v>
      </c>
      <c r="G87" s="628" t="s">
        <v>79</v>
      </c>
      <c r="H87" s="629"/>
      <c r="I87" s="630"/>
      <c r="J87" s="631"/>
      <c r="K87" s="630"/>
      <c r="L87" s="630"/>
      <c r="M87" s="630"/>
      <c r="N87" s="904">
        <f>2*N92</f>
        <v>30</v>
      </c>
      <c r="O87" s="629">
        <f>'FORMATO PROPUESTA ECONÓMICA'!E85</f>
        <v>0</v>
      </c>
      <c r="P87" s="911">
        <f t="shared" si="6"/>
        <v>0</v>
      </c>
      <c r="Q87" s="872"/>
      <c r="R87" s="875"/>
      <c r="S87" s="1121"/>
    </row>
    <row r="88" spans="2:19" x14ac:dyDescent="0.25">
      <c r="B88" s="866"/>
      <c r="C88" s="870" t="e">
        <f>'FORMATO PROPUESTA ECONÓMICA'!#REF!</f>
        <v>#REF!</v>
      </c>
      <c r="D88" s="873"/>
      <c r="E88" s="634">
        <f>'7. Presup. Sector 3 '!E88</f>
        <v>8.8000000000000007</v>
      </c>
      <c r="F88" s="633" t="s">
        <v>89</v>
      </c>
      <c r="G88" s="628" t="s">
        <v>79</v>
      </c>
      <c r="H88" s="629"/>
      <c r="I88" s="630"/>
      <c r="J88" s="631"/>
      <c r="K88" s="630"/>
      <c r="L88" s="630"/>
      <c r="M88" s="630"/>
      <c r="N88" s="904">
        <v>8</v>
      </c>
      <c r="O88" s="629">
        <f>'FORMATO PROPUESTA ECONÓMICA'!E86</f>
        <v>0</v>
      </c>
      <c r="P88" s="911">
        <f t="shared" si="6"/>
        <v>0</v>
      </c>
      <c r="Q88" s="872"/>
      <c r="R88" s="875"/>
      <c r="S88" s="1121"/>
    </row>
    <row r="89" spans="2:19" x14ac:dyDescent="0.25">
      <c r="B89" s="866"/>
      <c r="C89" s="870" t="e">
        <f>'FORMATO PROPUESTA ECONÓMICA'!#REF!</f>
        <v>#REF!</v>
      </c>
      <c r="D89" s="873"/>
      <c r="E89" s="634">
        <f>'7. Presup. Sector 3 '!E89</f>
        <v>8.9</v>
      </c>
      <c r="F89" s="633" t="s">
        <v>90</v>
      </c>
      <c r="G89" s="628" t="s">
        <v>79</v>
      </c>
      <c r="H89" s="629"/>
      <c r="I89" s="630"/>
      <c r="J89" s="631"/>
      <c r="K89" s="630"/>
      <c r="L89" s="630"/>
      <c r="M89" s="630"/>
      <c r="N89" s="904">
        <v>2</v>
      </c>
      <c r="O89" s="629">
        <f>'FORMATO PROPUESTA ECONÓMICA'!E87</f>
        <v>0</v>
      </c>
      <c r="P89" s="911">
        <f t="shared" si="6"/>
        <v>0</v>
      </c>
      <c r="Q89" s="872"/>
      <c r="R89" s="875"/>
      <c r="S89" s="1121"/>
    </row>
    <row r="90" spans="2:19" x14ac:dyDescent="0.25">
      <c r="B90" s="866"/>
      <c r="C90" s="870" t="e">
        <f>'FORMATO PROPUESTA ECONÓMICA'!#REF!</f>
        <v>#REF!</v>
      </c>
      <c r="D90" s="873"/>
      <c r="E90" s="620">
        <f>'7. Presup. Sector 3 '!E90</f>
        <v>8.1</v>
      </c>
      <c r="F90" s="633" t="s">
        <v>91</v>
      </c>
      <c r="G90" s="628" t="s">
        <v>79</v>
      </c>
      <c r="H90" s="629"/>
      <c r="I90" s="630"/>
      <c r="J90" s="631"/>
      <c r="K90" s="630"/>
      <c r="L90" s="630"/>
      <c r="M90" s="630"/>
      <c r="N90" s="904">
        <v>2</v>
      </c>
      <c r="O90" s="629">
        <f>'FORMATO PROPUESTA ECONÓMICA'!E88</f>
        <v>0</v>
      </c>
      <c r="P90" s="911">
        <f t="shared" si="6"/>
        <v>0</v>
      </c>
      <c r="Q90" s="872"/>
      <c r="R90" s="875"/>
      <c r="S90" s="1121"/>
    </row>
    <row r="91" spans="2:19" ht="30" hidden="1" x14ac:dyDescent="0.25">
      <c r="B91" s="866"/>
      <c r="C91" s="870" t="e">
        <f>'FORMATO PROPUESTA ECONÓMICA'!#REF!</f>
        <v>#REF!</v>
      </c>
      <c r="D91" s="873"/>
      <c r="E91" s="620">
        <f>'7. Presup. Sector 3 '!E91</f>
        <v>8.11</v>
      </c>
      <c r="F91" s="633" t="s">
        <v>92</v>
      </c>
      <c r="G91" s="628" t="s">
        <v>79</v>
      </c>
      <c r="H91" s="629"/>
      <c r="I91" s="630"/>
      <c r="J91" s="631"/>
      <c r="K91" s="630"/>
      <c r="L91" s="630"/>
      <c r="M91" s="630"/>
      <c r="N91" s="904"/>
      <c r="O91" s="629">
        <f>'FORMATO PROPUESTA ECONÓMICA'!E89</f>
        <v>0</v>
      </c>
      <c r="P91" s="911">
        <f t="shared" si="6"/>
        <v>0</v>
      </c>
      <c r="Q91" s="872"/>
      <c r="R91" s="875"/>
      <c r="S91" s="1121"/>
    </row>
    <row r="92" spans="2:19" ht="30" x14ac:dyDescent="0.25">
      <c r="B92" s="866"/>
      <c r="C92" s="870" t="e">
        <f>'FORMATO PROPUESTA ECONÓMICA'!#REF!</f>
        <v>#REF!</v>
      </c>
      <c r="D92" s="873"/>
      <c r="E92" s="620">
        <f>'7. Presup. Sector 3 '!E92</f>
        <v>8.1199999999999992</v>
      </c>
      <c r="F92" s="633" t="s">
        <v>93</v>
      </c>
      <c r="G92" s="628" t="s">
        <v>79</v>
      </c>
      <c r="H92" s="629"/>
      <c r="I92" s="630"/>
      <c r="J92" s="631"/>
      <c r="K92" s="630"/>
      <c r="L92" s="630"/>
      <c r="M92" s="630"/>
      <c r="N92" s="904">
        <v>15</v>
      </c>
      <c r="O92" s="629">
        <f>'FORMATO PROPUESTA ECONÓMICA'!E90</f>
        <v>0</v>
      </c>
      <c r="P92" s="911">
        <f t="shared" si="6"/>
        <v>0</v>
      </c>
      <c r="Q92" s="872"/>
      <c r="R92" s="875"/>
      <c r="S92" s="1121"/>
    </row>
    <row r="93" spans="2:19" ht="30" x14ac:dyDescent="0.25">
      <c r="B93" s="866"/>
      <c r="C93" s="870" t="e">
        <f>'FORMATO PROPUESTA ECONÓMICA'!#REF!</f>
        <v>#REF!</v>
      </c>
      <c r="D93" s="873"/>
      <c r="E93" s="620">
        <f>'7. Presup. Sector 3 '!E93</f>
        <v>8.1300000000000008</v>
      </c>
      <c r="F93" s="633" t="s">
        <v>94</v>
      </c>
      <c r="G93" s="628" t="s">
        <v>79</v>
      </c>
      <c r="H93" s="629"/>
      <c r="I93" s="630"/>
      <c r="J93" s="631"/>
      <c r="K93" s="630"/>
      <c r="L93" s="630"/>
      <c r="M93" s="630"/>
      <c r="N93" s="904">
        <v>4</v>
      </c>
      <c r="O93" s="629">
        <f>'FORMATO PROPUESTA ECONÓMICA'!E91</f>
        <v>0</v>
      </c>
      <c r="P93" s="911">
        <f t="shared" si="6"/>
        <v>0</v>
      </c>
      <c r="Q93" s="872"/>
      <c r="R93" s="875"/>
      <c r="S93" s="1121"/>
    </row>
    <row r="94" spans="2:19" ht="30" x14ac:dyDescent="0.25">
      <c r="B94" s="866"/>
      <c r="C94" s="870" t="e">
        <f>'FORMATO PROPUESTA ECONÓMICA'!#REF!</f>
        <v>#REF!</v>
      </c>
      <c r="D94" s="873"/>
      <c r="E94" s="620">
        <f>'7. Presup. Sector 3 '!E94</f>
        <v>8.14</v>
      </c>
      <c r="F94" s="633" t="s">
        <v>95</v>
      </c>
      <c r="G94" s="628" t="s">
        <v>79</v>
      </c>
      <c r="H94" s="629"/>
      <c r="I94" s="630"/>
      <c r="J94" s="631"/>
      <c r="K94" s="630"/>
      <c r="L94" s="630"/>
      <c r="M94" s="630"/>
      <c r="N94" s="904">
        <v>1</v>
      </c>
      <c r="O94" s="629">
        <f>'FORMATO PROPUESTA ECONÓMICA'!E92</f>
        <v>0</v>
      </c>
      <c r="P94" s="911">
        <f>IF(ISERROR(+N94*O94),"",+N94*O94)</f>
        <v>0</v>
      </c>
      <c r="Q94" s="872"/>
      <c r="R94" s="875"/>
      <c r="S94" s="1121"/>
    </row>
    <row r="95" spans="2:19" ht="30" x14ac:dyDescent="0.25">
      <c r="B95" s="866"/>
      <c r="C95" s="870" t="e">
        <f>'FORMATO PROPUESTA ECONÓMICA'!#REF!</f>
        <v>#REF!</v>
      </c>
      <c r="D95" s="873"/>
      <c r="E95" s="620">
        <f>'7. Presup. Sector 3 '!E95</f>
        <v>8.15</v>
      </c>
      <c r="F95" s="633" t="s">
        <v>96</v>
      </c>
      <c r="G95" s="628" t="s">
        <v>79</v>
      </c>
      <c r="H95" s="629"/>
      <c r="I95" s="630"/>
      <c r="J95" s="631"/>
      <c r="K95" s="630"/>
      <c r="L95" s="630"/>
      <c r="M95" s="630"/>
      <c r="N95" s="931">
        <v>1</v>
      </c>
      <c r="O95" s="629">
        <f>'FORMATO PROPUESTA ECONÓMICA'!E93</f>
        <v>0</v>
      </c>
      <c r="P95" s="911">
        <f t="shared" si="6"/>
        <v>0</v>
      </c>
      <c r="Q95" s="872"/>
      <c r="R95" s="875"/>
      <c r="S95" s="1121"/>
    </row>
    <row r="96" spans="2:19" ht="30" x14ac:dyDescent="0.25">
      <c r="B96" s="866"/>
      <c r="C96" s="870" t="e">
        <f>'FORMATO PROPUESTA ECONÓMICA'!#REF!</f>
        <v>#REF!</v>
      </c>
      <c r="D96" s="873"/>
      <c r="E96" s="620">
        <f>'7. Presup. Sector 3 '!E96</f>
        <v>8.16</v>
      </c>
      <c r="F96" s="633" t="s">
        <v>463</v>
      </c>
      <c r="G96" s="628" t="s">
        <v>79</v>
      </c>
      <c r="H96" s="629"/>
      <c r="I96" s="630"/>
      <c r="J96" s="631"/>
      <c r="K96" s="630"/>
      <c r="L96" s="630"/>
      <c r="M96" s="630"/>
      <c r="N96" s="904">
        <v>3</v>
      </c>
      <c r="O96" s="629">
        <f>'FORMATO PROPUESTA ECONÓMICA'!E94</f>
        <v>0</v>
      </c>
      <c r="P96" s="911">
        <f t="shared" si="6"/>
        <v>0</v>
      </c>
      <c r="Q96" s="872"/>
      <c r="R96" s="875"/>
      <c r="S96" s="1121"/>
    </row>
    <row r="97" spans="2:19" ht="60" x14ac:dyDescent="0.25">
      <c r="B97" s="866"/>
      <c r="C97" s="874"/>
      <c r="D97" s="741"/>
      <c r="E97" s="732">
        <f>'7. Presup. Sector 3 '!E97</f>
        <v>9</v>
      </c>
      <c r="F97" s="43" t="s">
        <v>447</v>
      </c>
      <c r="G97" s="44"/>
      <c r="H97" s="39"/>
      <c r="I97" s="40"/>
      <c r="J97" s="41"/>
      <c r="K97" s="40"/>
      <c r="L97" s="40"/>
      <c r="M97" s="40"/>
      <c r="N97" s="939"/>
      <c r="O97" s="39"/>
      <c r="P97" s="912"/>
      <c r="Q97" s="872"/>
      <c r="R97" s="875"/>
      <c r="S97" s="1121"/>
    </row>
    <row r="98" spans="2:19" hidden="1" x14ac:dyDescent="0.25">
      <c r="B98" s="866"/>
      <c r="C98" s="870"/>
      <c r="D98" s="873"/>
      <c r="E98" s="634">
        <f>'7. Presup. Sector 3 '!E98</f>
        <v>9.1</v>
      </c>
      <c r="F98" s="633" t="s">
        <v>450</v>
      </c>
      <c r="G98" s="628" t="s">
        <v>79</v>
      </c>
      <c r="H98" s="629"/>
      <c r="I98" s="630"/>
      <c r="J98" s="631"/>
      <c r="K98" s="630"/>
      <c r="L98" s="630"/>
      <c r="M98" s="630"/>
      <c r="N98" s="904"/>
      <c r="O98" s="39"/>
      <c r="P98" s="911">
        <f t="shared" si="6"/>
        <v>0</v>
      </c>
      <c r="Q98" s="872"/>
      <c r="R98" s="875"/>
      <c r="S98" s="1121"/>
    </row>
    <row r="99" spans="2:19" hidden="1" x14ac:dyDescent="0.25">
      <c r="B99" s="866"/>
      <c r="C99" s="870"/>
      <c r="D99" s="876"/>
      <c r="E99" s="634" t="e">
        <f>'7. Presup. Sector 3 '!E99</f>
        <v>#REF!</v>
      </c>
      <c r="F99" s="633" t="s">
        <v>451</v>
      </c>
      <c r="G99" s="628" t="s">
        <v>79</v>
      </c>
      <c r="H99" s="629"/>
      <c r="I99" s="630"/>
      <c r="J99" s="631"/>
      <c r="K99" s="630"/>
      <c r="L99" s="630"/>
      <c r="M99" s="630"/>
      <c r="N99" s="904"/>
      <c r="O99" s="39"/>
      <c r="P99" s="911">
        <f t="shared" si="6"/>
        <v>0</v>
      </c>
      <c r="Q99" s="872"/>
      <c r="R99" s="875"/>
      <c r="S99" s="1121"/>
    </row>
    <row r="100" spans="2:19" x14ac:dyDescent="0.25">
      <c r="B100" s="866"/>
      <c r="C100" s="874"/>
      <c r="D100" s="807"/>
      <c r="E100" s="732">
        <f>'7. Presup. Sector 3 '!E100</f>
        <v>10</v>
      </c>
      <c r="F100" s="888" t="s">
        <v>97</v>
      </c>
      <c r="G100" s="722"/>
      <c r="H100" s="723"/>
      <c r="I100" s="724"/>
      <c r="J100" s="725"/>
      <c r="K100" s="724"/>
      <c r="L100" s="724"/>
      <c r="M100" s="724"/>
      <c r="N100" s="940"/>
      <c r="O100" s="39"/>
      <c r="P100" s="916"/>
      <c r="Q100" s="872"/>
      <c r="R100" s="875"/>
      <c r="S100" s="1121"/>
    </row>
    <row r="101" spans="2:19" ht="60" hidden="1" x14ac:dyDescent="0.25">
      <c r="B101" s="866"/>
      <c r="C101" s="870"/>
      <c r="D101" s="876"/>
      <c r="E101" s="620" t="str">
        <f>'7. Presup. Sector 3 '!E101</f>
        <v>10.1</v>
      </c>
      <c r="F101" s="838" t="s">
        <v>444</v>
      </c>
      <c r="G101" s="714" t="s">
        <v>79</v>
      </c>
      <c r="H101" s="716"/>
      <c r="I101" s="717"/>
      <c r="J101" s="718"/>
      <c r="K101" s="717"/>
      <c r="L101" s="717"/>
      <c r="M101" s="717"/>
      <c r="N101" s="901"/>
      <c r="O101" s="629">
        <f>'FORMATO PROPUESTA ECONÓMICA'!E126</f>
        <v>0</v>
      </c>
      <c r="P101" s="911">
        <f t="shared" si="6"/>
        <v>0</v>
      </c>
      <c r="Q101" s="872"/>
      <c r="R101" s="875"/>
      <c r="S101" s="1121"/>
    </row>
    <row r="102" spans="2:19" ht="60" x14ac:dyDescent="0.25">
      <c r="B102" s="866"/>
      <c r="C102" s="870" t="e">
        <f>'FORMATO PROPUESTA ECONÓMICA'!#REF!</f>
        <v>#REF!</v>
      </c>
      <c r="D102" s="876"/>
      <c r="E102" s="634">
        <f>'7. Presup. Sector 3 '!E102</f>
        <v>10.199999999999999</v>
      </c>
      <c r="F102" s="32" t="s">
        <v>444</v>
      </c>
      <c r="G102" s="709" t="s">
        <v>79</v>
      </c>
      <c r="H102" s="726"/>
      <c r="I102" s="727"/>
      <c r="J102" s="728"/>
      <c r="K102" s="727"/>
      <c r="L102" s="727"/>
      <c r="M102" s="727"/>
      <c r="N102" s="941">
        <f>N76</f>
        <v>800</v>
      </c>
      <c r="O102" s="629">
        <f>'FORMATO PROPUESTA ECONÓMICA'!E127</f>
        <v>0</v>
      </c>
      <c r="P102" s="917">
        <f>IF(ISERROR(+N102*O102),"",+N102*O102)</f>
        <v>0</v>
      </c>
      <c r="Q102" s="872"/>
      <c r="R102" s="875"/>
      <c r="S102" s="1121"/>
    </row>
    <row r="103" spans="2:19" ht="60" x14ac:dyDescent="0.25">
      <c r="B103" s="866" t="str">
        <f>+'[3]5.Domiciliarias Colector La Yuq'!C18</f>
        <v>Reparación de pavimento</v>
      </c>
      <c r="C103" s="870" t="e">
        <f>'FORMATO PROPUESTA ECONÓMICA'!#REF!</f>
        <v>#REF!</v>
      </c>
      <c r="D103" s="876"/>
      <c r="E103" s="620" t="str">
        <f>'7. Presup. Sector 3 '!E103</f>
        <v>10.3</v>
      </c>
      <c r="F103" s="633" t="s">
        <v>98</v>
      </c>
      <c r="G103" s="628" t="s">
        <v>79</v>
      </c>
      <c r="H103" s="629">
        <f>IF(ISERROR(VLOOKUP($D103,[4]Ppto!$A$3:$F$100,4,)),0,VLOOKUP($D103,[4]Ppto!$A$3:$F$100,4,))</f>
        <v>0</v>
      </c>
      <c r="I103" s="630">
        <f>IF(ISERROR(VLOOKUP($D103,[4]Ppto!$A$3:$F$100,5,)),0,VLOOKUP($D103,[4]Ppto!$A$3:$F$100,5,))</f>
        <v>0</v>
      </c>
      <c r="J103" s="631">
        <v>1</v>
      </c>
      <c r="K103" s="630">
        <f t="shared" ref="K103:K110" si="7">+I103-O103</f>
        <v>0</v>
      </c>
      <c r="L103" s="630">
        <f t="shared" si="0"/>
        <v>0</v>
      </c>
      <c r="M103" s="630">
        <f t="shared" ref="M103:M110" si="8">+L103-P103</f>
        <v>0</v>
      </c>
      <c r="N103" s="904">
        <f>N95+N94+N93+N92</f>
        <v>21</v>
      </c>
      <c r="O103" s="629">
        <f>'FORMATO PROPUESTA ECONÓMICA'!E128</f>
        <v>0</v>
      </c>
      <c r="P103" s="911">
        <f>IF(ISERROR(+N103*O103),"",+N103*O103)</f>
        <v>0</v>
      </c>
      <c r="Q103" s="872"/>
      <c r="R103" s="875"/>
      <c r="S103" s="1121"/>
    </row>
    <row r="104" spans="2:19" x14ac:dyDescent="0.25">
      <c r="B104" s="867" t="str">
        <f>+'[3]5.Domiciliarias Colector La Yuq'!C19</f>
        <v>Construcción de pavimento</v>
      </c>
      <c r="C104" s="870" t="e">
        <f>'FORMATO PROPUESTA ECONÓMICA'!#REF!</f>
        <v>#REF!</v>
      </c>
      <c r="D104" s="876"/>
      <c r="E104" s="620" t="str">
        <f>'7. Presup. Sector 3 '!E104</f>
        <v>10.4</v>
      </c>
      <c r="F104" s="633" t="s">
        <v>99</v>
      </c>
      <c r="G104" s="628" t="s">
        <v>59</v>
      </c>
      <c r="H104" s="629">
        <f>IF(ISERROR(VLOOKUP($D104,[4]Ppto!$A$3:$F$100,4,)),0,VLOOKUP($D104,[4]Ppto!$A$3:$F$100,4,))</f>
        <v>0</v>
      </c>
      <c r="I104" s="630">
        <f>IF(ISERROR(VLOOKUP($D104,[4]Ppto!$A$3:$F$100,5,)),0,VLOOKUP($D104,[4]Ppto!$A$3:$F$100,5,))</f>
        <v>0</v>
      </c>
      <c r="J104" s="631">
        <v>1</v>
      </c>
      <c r="K104" s="630">
        <f t="shared" si="7"/>
        <v>0</v>
      </c>
      <c r="L104" s="630">
        <f t="shared" si="0"/>
        <v>0</v>
      </c>
      <c r="M104" s="630">
        <f t="shared" si="8"/>
        <v>0</v>
      </c>
      <c r="N104" s="895">
        <f>N39+N38+N37+N36</f>
        <v>5413.7999999999993</v>
      </c>
      <c r="O104" s="629">
        <f>'FORMATO PROPUESTA ECONÓMICA'!E129</f>
        <v>0</v>
      </c>
      <c r="P104" s="911">
        <f>IF(ISERROR(+N104*O104),"",+N104*O104)</f>
        <v>0</v>
      </c>
      <c r="Q104" s="872"/>
      <c r="R104" s="875"/>
      <c r="S104" s="1121"/>
    </row>
    <row r="105" spans="2:19" x14ac:dyDescent="0.25">
      <c r="B105" s="867" t="str">
        <f>+'[3]5.Domiciliarias Colector La Yuq'!C20</f>
        <v>Construcción de cajas  0.6x0.6x0.8 m</v>
      </c>
      <c r="C105" s="870" t="e">
        <f>'FORMATO PROPUESTA ECONÓMICA'!#REF!</f>
        <v>#REF!</v>
      </c>
      <c r="D105" s="876"/>
      <c r="E105" s="620">
        <f>'7. Presup. Sector 3 '!E105</f>
        <v>10.5</v>
      </c>
      <c r="F105" s="633" t="s">
        <v>100</v>
      </c>
      <c r="G105" s="628" t="s">
        <v>15</v>
      </c>
      <c r="H105" s="629">
        <f>IF(ISERROR(VLOOKUP($D105,[4]Ppto!$A$3:$F$100,4,)),0,VLOOKUP($D105,[4]Ppto!$A$3:$F$100,4,))</f>
        <v>0</v>
      </c>
      <c r="I105" s="630">
        <f>IF(ISERROR(VLOOKUP($D105,[4]Ppto!$A$3:$F$100,5,)),0,VLOOKUP($D105,[4]Ppto!$A$3:$F$100,5,))</f>
        <v>0</v>
      </c>
      <c r="J105" s="631">
        <v>1</v>
      </c>
      <c r="K105" s="630">
        <f t="shared" si="7"/>
        <v>0</v>
      </c>
      <c r="L105" s="630">
        <f t="shared" si="0"/>
        <v>0</v>
      </c>
      <c r="M105" s="630">
        <f t="shared" si="8"/>
        <v>0</v>
      </c>
      <c r="N105" s="942">
        <f>N103*0.4*0.4*0.4</f>
        <v>1.3440000000000003</v>
      </c>
      <c r="O105" s="629">
        <f>'FORMATO PROPUESTA ECONÓMICA'!E130</f>
        <v>0</v>
      </c>
      <c r="P105" s="911">
        <f>IF(ISERROR(+N105*O105),"",+N105*O105)</f>
        <v>0</v>
      </c>
      <c r="Q105" s="872"/>
      <c r="R105" s="875"/>
      <c r="S105" s="1121"/>
    </row>
    <row r="106" spans="2:19" ht="45" hidden="1" x14ac:dyDescent="0.25">
      <c r="B106" s="867" t="str">
        <f>+'[3]5.Domiciliarias Colector La Yuq'!C21</f>
        <v>De empalme en andén o zona verde, para domiciliarias de alcantarillado.  Incluye acabado de la tapa según andén existente</v>
      </c>
      <c r="C106" s="870" t="e">
        <f>'FORMATO PROPUESTA ECONÓMICA'!#REF!</f>
        <v>#REF!</v>
      </c>
      <c r="D106" s="876"/>
      <c r="E106" s="620">
        <f>'7. Presup. Sector 3 '!E106</f>
        <v>10.6</v>
      </c>
      <c r="F106" s="633" t="s">
        <v>101</v>
      </c>
      <c r="G106" s="628" t="s">
        <v>352</v>
      </c>
      <c r="H106" s="629">
        <f>IF(ISERROR(VLOOKUP($D106,[4]Ppto!$A$3:$F$100,4,)),0,VLOOKUP($D106,[4]Ppto!$A$3:$F$100,4,))</f>
        <v>0</v>
      </c>
      <c r="I106" s="630">
        <f>IF(ISERROR(VLOOKUP($D106,[4]Ppto!$A$3:$F$100,5,)),0,VLOOKUP($D106,[4]Ppto!$A$3:$F$100,5,))</f>
        <v>0</v>
      </c>
      <c r="J106" s="631">
        <v>1</v>
      </c>
      <c r="K106" s="630">
        <f t="shared" si="7"/>
        <v>0</v>
      </c>
      <c r="L106" s="630">
        <f t="shared" si="0"/>
        <v>0</v>
      </c>
      <c r="M106" s="630">
        <f t="shared" si="8"/>
        <v>0</v>
      </c>
      <c r="N106" s="904"/>
      <c r="O106" s="629">
        <f>'FORMATO PROPUESTA ECONÓMICA'!E131</f>
        <v>0</v>
      </c>
      <c r="P106" s="911">
        <f t="shared" ref="P106:P107" si="9">IF(ISERROR(+N106*O106),"",+N106*O106)</f>
        <v>0</v>
      </c>
      <c r="Q106" s="872"/>
      <c r="R106" s="875"/>
      <c r="S106" s="1121"/>
    </row>
    <row r="107" spans="2:19" ht="30" x14ac:dyDescent="0.25">
      <c r="B107" s="867"/>
      <c r="C107" s="870"/>
      <c r="D107" s="876"/>
      <c r="E107" s="620"/>
      <c r="F107" s="633" t="s">
        <v>465</v>
      </c>
      <c r="G107" s="628" t="s">
        <v>16</v>
      </c>
      <c r="H107" s="629"/>
      <c r="I107" s="630"/>
      <c r="J107" s="631"/>
      <c r="K107" s="630"/>
      <c r="L107" s="630"/>
      <c r="M107" s="630"/>
      <c r="N107" s="904">
        <v>136</v>
      </c>
      <c r="O107" s="629">
        <f>'FORMATO PROPUESTA ECONÓMICA'!E132</f>
        <v>0</v>
      </c>
      <c r="P107" s="911">
        <f t="shared" si="9"/>
        <v>0</v>
      </c>
      <c r="Q107" s="872"/>
      <c r="R107" s="875"/>
      <c r="S107" s="1121"/>
    </row>
    <row r="108" spans="2:19" x14ac:dyDescent="0.25">
      <c r="B108" s="866" t="str">
        <f>+'[3]1. Colector Principal'!C51</f>
        <v>Suministro e Intalación de geotextil para la protección del lleno en la zanja</v>
      </c>
      <c r="C108" s="874" t="e">
        <f>'FORMATO PROPUESTA ECONÓMICA'!#REF!</f>
        <v>#REF!</v>
      </c>
      <c r="D108" s="807"/>
      <c r="E108" s="735">
        <f>'7. Presup. Sector 3 '!E108</f>
        <v>11</v>
      </c>
      <c r="F108" s="770" t="s">
        <v>102</v>
      </c>
      <c r="G108" s="779"/>
      <c r="H108" s="39">
        <f>IF(ISERROR(VLOOKUP($D108,[4]Ppto!$A$3:$F$100,4,)),0,VLOOKUP($D108,[4]Ppto!$A$3:$F$100,4,))</f>
        <v>0</v>
      </c>
      <c r="I108" s="40">
        <f>IF(ISERROR(VLOOKUP($D108,[4]Ppto!$A$3:$F$100,5,)),0,VLOOKUP($D108,[4]Ppto!$A$3:$F$100,5,))</f>
        <v>0</v>
      </c>
      <c r="J108" s="41">
        <v>1</v>
      </c>
      <c r="K108" s="40">
        <f t="shared" si="7"/>
        <v>0</v>
      </c>
      <c r="L108" s="40">
        <f t="shared" si="0"/>
        <v>0</v>
      </c>
      <c r="M108" s="40">
        <f t="shared" si="8"/>
        <v>0</v>
      </c>
      <c r="N108" s="939"/>
      <c r="O108" s="39"/>
      <c r="P108" s="912"/>
      <c r="Q108" s="872"/>
      <c r="R108" s="875"/>
      <c r="S108" s="1121"/>
    </row>
    <row r="109" spans="2:19" ht="30" x14ac:dyDescent="0.25">
      <c r="B109" s="866" t="str">
        <f>+'[3]1. Colector Principal'!C52</f>
        <v>Geotextil No tejido por cada 100m2</v>
      </c>
      <c r="C109" s="870" t="e">
        <f>'FORMATO PROPUESTA ECONÓMICA'!#REF!</f>
        <v>#REF!</v>
      </c>
      <c r="D109" s="876"/>
      <c r="E109" s="634">
        <f>'7. Presup. Sector 3 '!E109</f>
        <v>11.1</v>
      </c>
      <c r="F109" s="633" t="s">
        <v>103</v>
      </c>
      <c r="G109" s="628" t="s">
        <v>15</v>
      </c>
      <c r="H109" s="629">
        <f>IF(ISERROR(VLOOKUP($D109,[4]Ppto!$A$3:$F$100,4,)),0,VLOOKUP($D109,[4]Ppto!$A$3:$F$100,4,))</f>
        <v>0</v>
      </c>
      <c r="I109" s="630">
        <f>IF(ISERROR(VLOOKUP($D109,[4]Ppto!$A$3:$F$100,5,)),0,VLOOKUP($D109,[4]Ppto!$A$3:$F$100,5,))</f>
        <v>0</v>
      </c>
      <c r="J109" s="631">
        <v>1.0000020789169788</v>
      </c>
      <c r="K109" s="630">
        <f t="shared" si="7"/>
        <v>0</v>
      </c>
      <c r="L109" s="630">
        <f t="shared" si="0"/>
        <v>0</v>
      </c>
      <c r="M109" s="630">
        <f t="shared" si="8"/>
        <v>0</v>
      </c>
      <c r="N109" s="904">
        <v>4</v>
      </c>
      <c r="O109" s="629">
        <f>'FORMATO PROPUESTA ECONÓMICA'!E134</f>
        <v>0</v>
      </c>
      <c r="P109" s="911">
        <f>IF(ISERROR(+N109*O109),"",+N109*O109)</f>
        <v>0</v>
      </c>
      <c r="Q109" s="872"/>
      <c r="R109" s="875"/>
      <c r="S109" s="1121"/>
    </row>
    <row r="110" spans="2:19" hidden="1" x14ac:dyDescent="0.25">
      <c r="B110" s="866" t="str">
        <f>+'[3]1. Colector Principal'!C53</f>
        <v>Pilotes de madera Inmunizada Ø=0.15</v>
      </c>
      <c r="C110" s="870" t="e">
        <f>'FORMATO PROPUESTA ECONÓMICA'!#REF!</f>
        <v>#REF!</v>
      </c>
      <c r="D110" s="876"/>
      <c r="E110" s="634">
        <f>'7. Presup. Sector 3 '!E110</f>
        <v>11.2</v>
      </c>
      <c r="F110" s="633" t="s">
        <v>104</v>
      </c>
      <c r="G110" s="628" t="s">
        <v>15</v>
      </c>
      <c r="H110" s="629">
        <f>IF(ISERROR(VLOOKUP($D110,[4]Ppto!$A$3:$F$100,4,)),0,VLOOKUP($D110,[4]Ppto!$A$3:$F$100,4,))</f>
        <v>0</v>
      </c>
      <c r="I110" s="630">
        <f>IF(ISERROR(VLOOKUP($D110,[4]Ppto!$A$3:$F$100,5,)),0,VLOOKUP($D110,[4]Ppto!$A$3:$F$100,5,))</f>
        <v>0</v>
      </c>
      <c r="J110" s="631">
        <v>1.0000000000000002</v>
      </c>
      <c r="K110" s="630">
        <f t="shared" si="7"/>
        <v>0</v>
      </c>
      <c r="L110" s="630">
        <f t="shared" si="0"/>
        <v>0</v>
      </c>
      <c r="M110" s="630">
        <f t="shared" si="8"/>
        <v>0</v>
      </c>
      <c r="N110" s="904"/>
      <c r="O110" s="629">
        <f>'FORMATO PROPUESTA ECONÓMICA'!E135</f>
        <v>0</v>
      </c>
      <c r="P110" s="911">
        <f>IF(ISERROR(+N110*O110),"",+N110*O110)</f>
        <v>0</v>
      </c>
      <c r="Q110" s="872"/>
      <c r="R110" s="875"/>
      <c r="S110" s="1121"/>
    </row>
    <row r="111" spans="2:19" ht="60" hidden="1" x14ac:dyDescent="0.25">
      <c r="B111" s="866"/>
      <c r="C111" s="870" t="e">
        <f>'FORMATO PROPUESTA ECONÓMICA'!#REF!</f>
        <v>#REF!</v>
      </c>
      <c r="D111" s="876"/>
      <c r="E111" s="634">
        <f>'7. Presup. Sector 3 '!E111</f>
        <v>11.3</v>
      </c>
      <c r="F111" s="633" t="s">
        <v>105</v>
      </c>
      <c r="G111" s="628" t="s">
        <v>15</v>
      </c>
      <c r="H111" s="629"/>
      <c r="I111" s="630"/>
      <c r="J111" s="631"/>
      <c r="K111" s="630"/>
      <c r="L111" s="630"/>
      <c r="M111" s="630"/>
      <c r="N111" s="904"/>
      <c r="O111" s="629">
        <f>'FORMATO PROPUESTA ECONÓMICA'!E136</f>
        <v>0</v>
      </c>
      <c r="P111" s="911">
        <f>IF(ISERROR(+N111*O111),"",+N111*O111)</f>
        <v>0</v>
      </c>
      <c r="Q111" s="872"/>
      <c r="R111" s="875"/>
      <c r="S111" s="1121"/>
    </row>
    <row r="112" spans="2:19" ht="45" x14ac:dyDescent="0.25">
      <c r="B112" s="866"/>
      <c r="C112" s="870" t="e">
        <f>'FORMATO PROPUESTA ECONÓMICA'!#REF!</f>
        <v>#REF!</v>
      </c>
      <c r="D112" s="876"/>
      <c r="E112" s="634">
        <f>'7. Presup. Sector 3 '!E112</f>
        <v>11.4</v>
      </c>
      <c r="F112" s="633" t="s">
        <v>106</v>
      </c>
      <c r="G112" s="628" t="s">
        <v>15</v>
      </c>
      <c r="H112" s="629">
        <f>IF(ISERROR(VLOOKUP($D112,[4]Ppto!$A$3:$F$100,4,)),0,VLOOKUP($D112,[4]Ppto!$A$3:$F$100,4,))</f>
        <v>0</v>
      </c>
      <c r="I112" s="630">
        <f>IF(ISERROR(VLOOKUP($D112,[4]Ppto!$A$3:$F$100,5,)),0,VLOOKUP($D112,[4]Ppto!$A$3:$F$100,5,))</f>
        <v>0</v>
      </c>
      <c r="J112" s="631">
        <v>0.99996823491225251</v>
      </c>
      <c r="K112" s="630">
        <f>+I112-O112</f>
        <v>0</v>
      </c>
      <c r="L112" s="630">
        <f t="shared" ref="L112" si="10">+H112*I112</f>
        <v>0</v>
      </c>
      <c r="M112" s="630">
        <f>+L112-P112</f>
        <v>0</v>
      </c>
      <c r="N112" s="904">
        <v>4</v>
      </c>
      <c r="O112" s="629">
        <f>'FORMATO PROPUESTA ECONÓMICA'!E137</f>
        <v>0</v>
      </c>
      <c r="P112" s="911">
        <f>IF(ISERROR(+N112*O112),"",+N112*O112)</f>
        <v>0</v>
      </c>
      <c r="Q112" s="872"/>
      <c r="R112" s="875"/>
      <c r="S112" s="1121"/>
    </row>
    <row r="113" spans="2:19" hidden="1" x14ac:dyDescent="0.25">
      <c r="B113" s="866"/>
      <c r="C113" s="874"/>
      <c r="D113" s="807"/>
      <c r="E113" s="732">
        <f>'7. Presup. Sector 3 '!E113</f>
        <v>12</v>
      </c>
      <c r="F113" s="45" t="s">
        <v>350</v>
      </c>
      <c r="G113" s="44"/>
      <c r="H113" s="39"/>
      <c r="I113" s="40"/>
      <c r="J113" s="41"/>
      <c r="K113" s="40"/>
      <c r="L113" s="40"/>
      <c r="M113" s="40"/>
      <c r="N113" s="943"/>
      <c r="O113" s="39"/>
      <c r="P113" s="912"/>
      <c r="Q113" s="872"/>
      <c r="R113" s="875"/>
      <c r="S113" s="1121"/>
    </row>
    <row r="114" spans="2:19" hidden="1" x14ac:dyDescent="0.25">
      <c r="B114" s="866" t="str">
        <f>+'[3]1. Colector Principal'!C54</f>
        <v>Elaboración y Colocación de Concreto 2500 PSI para anclajes (incluye formaletería y Clavos)</v>
      </c>
      <c r="C114" s="870" t="e">
        <f>'FORMATO PROPUESTA ECONÓMICA'!#REF!</f>
        <v>#REF!</v>
      </c>
      <c r="D114" s="876"/>
      <c r="E114" s="634">
        <f>'7. Presup. Sector 3 '!E114</f>
        <v>12.1</v>
      </c>
      <c r="F114" s="627" t="s">
        <v>351</v>
      </c>
      <c r="G114" s="628" t="s">
        <v>79</v>
      </c>
      <c r="H114" s="629">
        <v>118716.25</v>
      </c>
      <c r="I114" s="630"/>
      <c r="J114" s="631"/>
      <c r="K114" s="630"/>
      <c r="L114" s="630"/>
      <c r="M114" s="630"/>
      <c r="N114" s="944">
        <f>N96+N95+N94+N93+N92+N56+N55+N54+N51+N50+N45+N44+N43+N42+N41</f>
        <v>125</v>
      </c>
      <c r="O114" s="629"/>
      <c r="P114" s="911">
        <f>IF(ISERROR(+N114*O114),"",+N114*O114)</f>
        <v>0</v>
      </c>
      <c r="Q114" s="872"/>
      <c r="R114" s="875"/>
      <c r="S114" s="1121"/>
    </row>
    <row r="115" spans="2:19" x14ac:dyDescent="0.25">
      <c r="B115" s="866">
        <f>+'[3]1. Colector Principal'!C64</f>
        <v>0</v>
      </c>
      <c r="C115" s="874" t="e">
        <f>'FORMATO PROPUESTA ECONÓMICA'!#REF!</f>
        <v>#REF!</v>
      </c>
      <c r="D115" s="807"/>
      <c r="E115" s="721"/>
      <c r="F115" s="43" t="s">
        <v>18</v>
      </c>
      <c r="G115" s="44"/>
      <c r="H115" s="39">
        <f>IF(ISERROR(VLOOKUP($D115,[4]Ppto!$A$3:$F$100,4,)),0,VLOOKUP($D115,[4]Ppto!$A$3:$F$100,4,))</f>
        <v>0</v>
      </c>
      <c r="I115" s="40">
        <f>IF(ISERROR(VLOOKUP($D115,[4]Ppto!$A$3:$F$100,5,)),0,VLOOKUP($D115,[4]Ppto!$A$3:$F$100,5,))</f>
        <v>0</v>
      </c>
      <c r="J115" s="41">
        <v>1</v>
      </c>
      <c r="K115" s="40">
        <f>+I115-O115</f>
        <v>0</v>
      </c>
      <c r="L115" s="40">
        <f t="shared" ref="L115:L116" si="11">+H115*I115</f>
        <v>0</v>
      </c>
      <c r="M115" s="40">
        <f>+L115-P115</f>
        <v>0</v>
      </c>
      <c r="N115" s="39"/>
      <c r="O115" s="39"/>
      <c r="P115" s="912">
        <f>SUM(P11:P114)</f>
        <v>0</v>
      </c>
      <c r="Q115" s="872"/>
      <c r="R115" s="875"/>
      <c r="S115" s="1121"/>
    </row>
    <row r="116" spans="2:19" ht="30" x14ac:dyDescent="0.25">
      <c r="B116" s="866" t="str">
        <f>+'[3]1. Colector Principal'!C65</f>
        <v>Suministro e Instalaciób  de tubería de PE para Acueducto PE 100 PN 6 RDE 26,(incluye nivelación)  en los siguientes diámetros nominales:</v>
      </c>
      <c r="C116" s="874" t="e">
        <f>'FORMATO PROPUESTA ECONÓMICA'!#REF!</f>
        <v>#REF!</v>
      </c>
      <c r="D116" s="807"/>
      <c r="E116" s="732" t="e">
        <f>'7. Presup. Sector 3 '!E116</f>
        <v>#REF!</v>
      </c>
      <c r="F116" s="43" t="s">
        <v>367</v>
      </c>
      <c r="G116" s="44"/>
      <c r="H116" s="39">
        <f>IF(ISERROR(VLOOKUP($D116,[4]Ppto!$A$3:$F$100,4,)),0,VLOOKUP($D116,[4]Ppto!$A$3:$F$100,4,))</f>
        <v>0</v>
      </c>
      <c r="I116" s="40">
        <f>IF(ISERROR(VLOOKUP($D116,[4]Ppto!$A$3:$F$100,5,)),0,VLOOKUP($D116,[4]Ppto!$A$3:$F$100,5,))</f>
        <v>0</v>
      </c>
      <c r="J116" s="41">
        <v>1</v>
      </c>
      <c r="K116" s="40">
        <f>+I116-O116</f>
        <v>0</v>
      </c>
      <c r="L116" s="40">
        <f t="shared" si="11"/>
        <v>0</v>
      </c>
      <c r="M116" s="40">
        <f>+L116-P116</f>
        <v>0</v>
      </c>
      <c r="N116" s="39"/>
      <c r="O116" s="39"/>
      <c r="P116" s="912"/>
      <c r="Q116" s="872"/>
      <c r="R116" s="875"/>
      <c r="S116" s="1121"/>
    </row>
    <row r="117" spans="2:19" hidden="1" x14ac:dyDescent="0.25">
      <c r="B117" s="866"/>
      <c r="C117" s="870" t="e">
        <f>'FORMATO PROPUESTA ECONÓMICA'!#REF!</f>
        <v>#REF!</v>
      </c>
      <c r="D117" s="876"/>
      <c r="E117" s="620" t="e">
        <f>'7. Presup. Sector 3 '!E117</f>
        <v>#REF!</v>
      </c>
      <c r="F117" s="633" t="s">
        <v>368</v>
      </c>
      <c r="G117" s="628" t="str">
        <f>G35</f>
        <v>ml</v>
      </c>
      <c r="H117" s="628">
        <f t="shared" ref="H117:N117" si="12">H35</f>
        <v>0</v>
      </c>
      <c r="I117" s="628">
        <f t="shared" si="12"/>
        <v>0</v>
      </c>
      <c r="J117" s="628">
        <f t="shared" si="12"/>
        <v>1.0000083683818088</v>
      </c>
      <c r="K117" s="628" t="e">
        <f t="shared" si="12"/>
        <v>#REF!</v>
      </c>
      <c r="L117" s="628">
        <f t="shared" si="12"/>
        <v>0</v>
      </c>
      <c r="M117" s="628">
        <f t="shared" si="12"/>
        <v>0</v>
      </c>
      <c r="N117" s="932">
        <f t="shared" si="12"/>
        <v>0</v>
      </c>
      <c r="O117" s="629">
        <v>10208</v>
      </c>
      <c r="P117" s="911">
        <f t="shared" ref="P117:P143" si="13">IF(ISERROR(+N117*O117),"",+N117*O117)</f>
        <v>0</v>
      </c>
      <c r="Q117" s="872"/>
      <c r="S117" s="1121"/>
    </row>
    <row r="118" spans="2:19" x14ac:dyDescent="0.25">
      <c r="B118" s="866" t="str">
        <f>+'[3]2.Secundarias B_Obrero'!C52</f>
        <v>Tubería PE Øint. 184.6mm</v>
      </c>
      <c r="C118" s="870" t="e">
        <f>'FORMATO PROPUESTA ECONÓMICA'!#REF!</f>
        <v>#REF!</v>
      </c>
      <c r="D118" s="873"/>
      <c r="E118" s="634" t="e">
        <f>'7. Presup. Sector 3 '!E118</f>
        <v>#REF!</v>
      </c>
      <c r="F118" s="633" t="s">
        <v>404</v>
      </c>
      <c r="G118" s="628" t="str">
        <f t="shared" ref="G118:N118" si="14">G36</f>
        <v>ml</v>
      </c>
      <c r="H118" s="628">
        <f t="shared" si="14"/>
        <v>0</v>
      </c>
      <c r="I118" s="628">
        <f t="shared" si="14"/>
        <v>0</v>
      </c>
      <c r="J118" s="628">
        <f t="shared" si="14"/>
        <v>0.99995852949508546</v>
      </c>
      <c r="K118" s="628">
        <f t="shared" si="14"/>
        <v>0</v>
      </c>
      <c r="L118" s="628">
        <f t="shared" si="14"/>
        <v>0</v>
      </c>
      <c r="M118" s="628">
        <f t="shared" si="14"/>
        <v>0</v>
      </c>
      <c r="N118" s="932">
        <f t="shared" si="14"/>
        <v>4382.2</v>
      </c>
      <c r="O118" s="629">
        <v>13708</v>
      </c>
      <c r="P118" s="911">
        <f t="shared" si="13"/>
        <v>60071197.599999994</v>
      </c>
      <c r="Q118" s="872"/>
      <c r="S118" s="1121"/>
    </row>
    <row r="119" spans="2:19" x14ac:dyDescent="0.25">
      <c r="B119" s="866" t="str">
        <f>+'[3]1. Colector Principal'!C66</f>
        <v>Tubería PE Øint. 230.8mm</v>
      </c>
      <c r="C119" s="870" t="e">
        <f>'FORMATO PROPUESTA ECONÓMICA'!#REF!</f>
        <v>#REF!</v>
      </c>
      <c r="D119" s="873"/>
      <c r="E119" s="634" t="e">
        <f>'7. Presup. Sector 3 '!E119</f>
        <v>#REF!</v>
      </c>
      <c r="F119" s="633" t="s">
        <v>405</v>
      </c>
      <c r="G119" s="628" t="str">
        <f t="shared" ref="G119:N119" si="15">G37</f>
        <v>ml</v>
      </c>
      <c r="H119" s="628">
        <f t="shared" si="15"/>
        <v>0</v>
      </c>
      <c r="I119" s="628">
        <f t="shared" si="15"/>
        <v>0</v>
      </c>
      <c r="J119" s="628">
        <f t="shared" si="15"/>
        <v>0</v>
      </c>
      <c r="K119" s="628">
        <f t="shared" si="15"/>
        <v>0</v>
      </c>
      <c r="L119" s="628">
        <f t="shared" si="15"/>
        <v>0</v>
      </c>
      <c r="M119" s="628">
        <f t="shared" si="15"/>
        <v>0</v>
      </c>
      <c r="N119" s="932">
        <f t="shared" si="15"/>
        <v>843.9</v>
      </c>
      <c r="O119" s="629">
        <v>20240</v>
      </c>
      <c r="P119" s="911">
        <f t="shared" si="13"/>
        <v>17080536</v>
      </c>
      <c r="Q119" s="872"/>
      <c r="S119" s="1121"/>
    </row>
    <row r="120" spans="2:19" x14ac:dyDescent="0.25">
      <c r="B120" s="866" t="str">
        <f>+'[3]1. Colector Principal'!C67</f>
        <v>Tubería PE Øint. 290.8mm</v>
      </c>
      <c r="C120" s="870" t="e">
        <f>'FORMATO PROPUESTA ECONÓMICA'!#REF!</f>
        <v>#REF!</v>
      </c>
      <c r="D120" s="873"/>
      <c r="E120" s="634" t="e">
        <f>'7. Presup. Sector 3 '!E120</f>
        <v>#REF!</v>
      </c>
      <c r="F120" s="633" t="s">
        <v>406</v>
      </c>
      <c r="G120" s="628" t="str">
        <f t="shared" ref="G120:N120" si="16">G38</f>
        <v>ml</v>
      </c>
      <c r="H120" s="628">
        <f t="shared" si="16"/>
        <v>0</v>
      </c>
      <c r="I120" s="628">
        <f t="shared" si="16"/>
        <v>0</v>
      </c>
      <c r="J120" s="628">
        <f t="shared" si="16"/>
        <v>0</v>
      </c>
      <c r="K120" s="628">
        <f t="shared" si="16"/>
        <v>0</v>
      </c>
      <c r="L120" s="628">
        <f t="shared" si="16"/>
        <v>0</v>
      </c>
      <c r="M120" s="628">
        <f t="shared" si="16"/>
        <v>0</v>
      </c>
      <c r="N120" s="932">
        <f t="shared" si="16"/>
        <v>158.5</v>
      </c>
      <c r="O120" s="629">
        <v>43240</v>
      </c>
      <c r="P120" s="911">
        <f t="shared" si="13"/>
        <v>6853540</v>
      </c>
      <c r="Q120" s="872"/>
      <c r="S120" s="1121"/>
    </row>
    <row r="121" spans="2:19" x14ac:dyDescent="0.25">
      <c r="B121" s="866"/>
      <c r="C121" s="870" t="e">
        <f>'FORMATO PROPUESTA ECONÓMICA'!#REF!</f>
        <v>#REF!</v>
      </c>
      <c r="D121" s="873"/>
      <c r="E121" s="634" t="e">
        <f>'7. Presup. Sector 3 '!E121</f>
        <v>#REF!</v>
      </c>
      <c r="F121" s="633" t="s">
        <v>407</v>
      </c>
      <c r="G121" s="628" t="str">
        <f t="shared" ref="G121:N121" si="17">G39</f>
        <v>ml</v>
      </c>
      <c r="H121" s="628">
        <f t="shared" si="17"/>
        <v>0</v>
      </c>
      <c r="I121" s="628">
        <f t="shared" si="17"/>
        <v>0</v>
      </c>
      <c r="J121" s="628">
        <f t="shared" si="17"/>
        <v>1</v>
      </c>
      <c r="K121" s="628">
        <f t="shared" si="17"/>
        <v>0</v>
      </c>
      <c r="L121" s="628">
        <f t="shared" si="17"/>
        <v>0</v>
      </c>
      <c r="M121" s="628">
        <f t="shared" si="17"/>
        <v>0</v>
      </c>
      <c r="N121" s="932">
        <f t="shared" si="17"/>
        <v>29.2</v>
      </c>
      <c r="O121" s="629">
        <v>97199</v>
      </c>
      <c r="P121" s="911">
        <f t="shared" si="13"/>
        <v>2838210.8</v>
      </c>
      <c r="Q121" s="872"/>
      <c r="S121" s="1121"/>
    </row>
    <row r="122" spans="2:19" hidden="1" x14ac:dyDescent="0.25">
      <c r="B122" s="866"/>
      <c r="C122" s="870" t="e">
        <f>'FORMATO PROPUESTA ECONÓMICA'!#REF!</f>
        <v>#REF!</v>
      </c>
      <c r="D122" s="873"/>
      <c r="E122" s="634" t="e">
        <f>'7. Presup. Sector 3 '!E122</f>
        <v>#REF!</v>
      </c>
      <c r="F122" s="633" t="s">
        <v>379</v>
      </c>
      <c r="G122" s="628" t="str">
        <f t="shared" ref="G122:N122" si="18">G40</f>
        <v>und</v>
      </c>
      <c r="H122" s="628">
        <f t="shared" si="18"/>
        <v>0</v>
      </c>
      <c r="I122" s="628">
        <f t="shared" si="18"/>
        <v>0</v>
      </c>
      <c r="J122" s="628">
        <f t="shared" si="18"/>
        <v>0</v>
      </c>
      <c r="K122" s="628">
        <f t="shared" si="18"/>
        <v>0</v>
      </c>
      <c r="L122" s="628">
        <f t="shared" si="18"/>
        <v>0</v>
      </c>
      <c r="M122" s="628">
        <f t="shared" si="18"/>
        <v>0</v>
      </c>
      <c r="N122" s="932">
        <f t="shared" si="18"/>
        <v>0</v>
      </c>
      <c r="O122" s="629">
        <v>39195</v>
      </c>
      <c r="P122" s="911">
        <f t="shared" si="13"/>
        <v>0</v>
      </c>
      <c r="Q122" s="872"/>
      <c r="S122" s="1121"/>
    </row>
    <row r="123" spans="2:19" x14ac:dyDescent="0.25">
      <c r="B123" s="866"/>
      <c r="C123" s="870" t="e">
        <f>'FORMATO PROPUESTA ECONÓMICA'!#REF!</f>
        <v>#REF!</v>
      </c>
      <c r="D123" s="873"/>
      <c r="E123" s="634" t="e">
        <f>'7. Presup. Sector 3 '!E123</f>
        <v>#REF!</v>
      </c>
      <c r="F123" s="633" t="s">
        <v>380</v>
      </c>
      <c r="G123" s="628" t="str">
        <f t="shared" ref="G123:N123" si="19">G41</f>
        <v>und</v>
      </c>
      <c r="H123" s="628">
        <f t="shared" si="19"/>
        <v>0</v>
      </c>
      <c r="I123" s="628">
        <f t="shared" si="19"/>
        <v>0</v>
      </c>
      <c r="J123" s="628">
        <f t="shared" si="19"/>
        <v>0</v>
      </c>
      <c r="K123" s="628">
        <f t="shared" si="19"/>
        <v>0</v>
      </c>
      <c r="L123" s="628">
        <f t="shared" si="19"/>
        <v>0</v>
      </c>
      <c r="M123" s="628">
        <f t="shared" si="19"/>
        <v>0</v>
      </c>
      <c r="N123" s="932">
        <f t="shared" si="19"/>
        <v>45</v>
      </c>
      <c r="O123" s="629">
        <v>47749</v>
      </c>
      <c r="P123" s="911">
        <f t="shared" si="13"/>
        <v>2148705</v>
      </c>
      <c r="Q123" s="872"/>
      <c r="S123" s="1121"/>
    </row>
    <row r="124" spans="2:19" x14ac:dyDescent="0.25">
      <c r="B124" s="866"/>
      <c r="C124" s="870" t="e">
        <f>'FORMATO PROPUESTA ECONÓMICA'!#REF!</f>
        <v>#REF!</v>
      </c>
      <c r="D124" s="873"/>
      <c r="E124" s="634" t="e">
        <f>'7. Presup. Sector 3 '!E124</f>
        <v>#REF!</v>
      </c>
      <c r="F124" s="633" t="s">
        <v>408</v>
      </c>
      <c r="G124" s="628" t="str">
        <f t="shared" ref="G124:N124" si="20">G42</f>
        <v>und</v>
      </c>
      <c r="H124" s="628">
        <f t="shared" si="20"/>
        <v>0</v>
      </c>
      <c r="I124" s="628">
        <f t="shared" si="20"/>
        <v>0</v>
      </c>
      <c r="J124" s="628">
        <f t="shared" si="20"/>
        <v>0</v>
      </c>
      <c r="K124" s="628">
        <f t="shared" si="20"/>
        <v>0</v>
      </c>
      <c r="L124" s="628">
        <f t="shared" si="20"/>
        <v>0</v>
      </c>
      <c r="M124" s="628">
        <f t="shared" si="20"/>
        <v>0</v>
      </c>
      <c r="N124" s="932">
        <f t="shared" si="20"/>
        <v>2</v>
      </c>
      <c r="O124" s="629">
        <v>64172</v>
      </c>
      <c r="P124" s="911">
        <f t="shared" si="13"/>
        <v>128344</v>
      </c>
      <c r="Q124" s="872"/>
      <c r="S124" s="1121"/>
    </row>
    <row r="125" spans="2:19" x14ac:dyDescent="0.25">
      <c r="B125" s="866"/>
      <c r="C125" s="870" t="e">
        <f>'FORMATO PROPUESTA ECONÓMICA'!#REF!</f>
        <v>#REF!</v>
      </c>
      <c r="D125" s="873"/>
      <c r="E125" s="634" t="e">
        <f>'7. Presup. Sector 3 '!E125</f>
        <v>#REF!</v>
      </c>
      <c r="F125" s="633" t="s">
        <v>409</v>
      </c>
      <c r="G125" s="628" t="str">
        <f t="shared" ref="G125:N125" si="21">G43</f>
        <v>und</v>
      </c>
      <c r="H125" s="628">
        <f t="shared" si="21"/>
        <v>0</v>
      </c>
      <c r="I125" s="628">
        <f t="shared" si="21"/>
        <v>0</v>
      </c>
      <c r="J125" s="628">
        <f t="shared" si="21"/>
        <v>0</v>
      </c>
      <c r="K125" s="628">
        <f t="shared" si="21"/>
        <v>0</v>
      </c>
      <c r="L125" s="628">
        <f t="shared" si="21"/>
        <v>0</v>
      </c>
      <c r="M125" s="628">
        <f t="shared" si="21"/>
        <v>0</v>
      </c>
      <c r="N125" s="932">
        <f t="shared" si="21"/>
        <v>2</v>
      </c>
      <c r="O125" s="629">
        <v>244662</v>
      </c>
      <c r="P125" s="911">
        <f t="shared" si="13"/>
        <v>489324</v>
      </c>
      <c r="Q125" s="872"/>
      <c r="S125" s="1121"/>
    </row>
    <row r="126" spans="2:19" x14ac:dyDescent="0.25">
      <c r="B126" s="866"/>
      <c r="C126" s="870" t="e">
        <f>'FORMATO PROPUESTA ECONÓMICA'!#REF!</f>
        <v>#REF!</v>
      </c>
      <c r="D126" s="873"/>
      <c r="E126" s="620" t="e">
        <f>'7. Presup. Sector 3 '!E126</f>
        <v>#REF!</v>
      </c>
      <c r="F126" s="633" t="s">
        <v>410</v>
      </c>
      <c r="G126" s="628" t="str">
        <f t="shared" ref="G126:N126" si="22">G44</f>
        <v>und</v>
      </c>
      <c r="H126" s="628">
        <f t="shared" si="22"/>
        <v>0</v>
      </c>
      <c r="I126" s="628">
        <f t="shared" si="22"/>
        <v>0</v>
      </c>
      <c r="J126" s="628">
        <f t="shared" si="22"/>
        <v>0</v>
      </c>
      <c r="K126" s="628">
        <f t="shared" si="22"/>
        <v>0</v>
      </c>
      <c r="L126" s="628">
        <f t="shared" si="22"/>
        <v>0</v>
      </c>
      <c r="M126" s="628">
        <f t="shared" si="22"/>
        <v>0</v>
      </c>
      <c r="N126" s="932">
        <f t="shared" si="22"/>
        <v>2</v>
      </c>
      <c r="O126" s="629">
        <v>414183</v>
      </c>
      <c r="P126" s="911">
        <f t="shared" si="13"/>
        <v>828366</v>
      </c>
      <c r="Q126" s="872"/>
      <c r="S126" s="1121"/>
    </row>
    <row r="127" spans="2:19" x14ac:dyDescent="0.25">
      <c r="B127" s="866"/>
      <c r="C127" s="870" t="e">
        <f>'FORMATO PROPUESTA ECONÓMICA'!#REF!</f>
        <v>#REF!</v>
      </c>
      <c r="D127" s="873"/>
      <c r="E127" s="620" t="e">
        <f>'7. Presup. Sector 3 '!E127</f>
        <v>#REF!</v>
      </c>
      <c r="F127" s="633" t="s">
        <v>411</v>
      </c>
      <c r="G127" s="628" t="str">
        <f t="shared" ref="G127:N128" si="23">G45</f>
        <v>und</v>
      </c>
      <c r="H127" s="628">
        <f t="shared" si="23"/>
        <v>0</v>
      </c>
      <c r="I127" s="628">
        <f t="shared" si="23"/>
        <v>0</v>
      </c>
      <c r="J127" s="628">
        <f t="shared" si="23"/>
        <v>0</v>
      </c>
      <c r="K127" s="628">
        <f t="shared" si="23"/>
        <v>0</v>
      </c>
      <c r="L127" s="628">
        <f t="shared" si="23"/>
        <v>0</v>
      </c>
      <c r="M127" s="628">
        <f t="shared" si="23"/>
        <v>0</v>
      </c>
      <c r="N127" s="932">
        <f t="shared" si="23"/>
        <v>17</v>
      </c>
      <c r="O127" s="629">
        <v>64172</v>
      </c>
      <c r="P127" s="911">
        <f t="shared" si="13"/>
        <v>1090924</v>
      </c>
      <c r="Q127" s="872"/>
      <c r="S127" s="1121"/>
    </row>
    <row r="128" spans="2:19" hidden="1" x14ac:dyDescent="0.25">
      <c r="B128" s="866"/>
      <c r="C128" s="870" t="e">
        <f>'FORMATO PROPUESTA ECONÓMICA'!#REF!</f>
        <v>#REF!</v>
      </c>
      <c r="D128" s="873"/>
      <c r="E128" s="620" t="e">
        <f>'7. Presup. Sector 3 '!E128</f>
        <v>#REF!</v>
      </c>
      <c r="F128" s="633" t="s">
        <v>446</v>
      </c>
      <c r="G128" s="628" t="str">
        <f t="shared" si="23"/>
        <v>und</v>
      </c>
      <c r="H128" s="628">
        <f t="shared" si="23"/>
        <v>0</v>
      </c>
      <c r="I128" s="628">
        <f t="shared" si="23"/>
        <v>0</v>
      </c>
      <c r="J128" s="628">
        <f t="shared" si="23"/>
        <v>0</v>
      </c>
      <c r="K128" s="628">
        <f t="shared" si="23"/>
        <v>0</v>
      </c>
      <c r="L128" s="628">
        <f t="shared" si="23"/>
        <v>0</v>
      </c>
      <c r="M128" s="628">
        <f t="shared" si="23"/>
        <v>0</v>
      </c>
      <c r="N128" s="932">
        <f t="shared" si="23"/>
        <v>0</v>
      </c>
      <c r="O128" s="629">
        <v>64172</v>
      </c>
      <c r="P128" s="911">
        <f t="shared" si="13"/>
        <v>0</v>
      </c>
      <c r="Q128" s="872"/>
      <c r="S128" s="1121"/>
    </row>
    <row r="129" spans="2:19" hidden="1" x14ac:dyDescent="0.25">
      <c r="B129" s="866"/>
      <c r="C129" s="870" t="e">
        <f>'FORMATO PROPUESTA ECONÓMICA'!#REF!</f>
        <v>#REF!</v>
      </c>
      <c r="D129" s="873"/>
      <c r="E129" s="620" t="e">
        <f>'7. Presup. Sector 3 '!E129</f>
        <v>#REF!</v>
      </c>
      <c r="F129" s="633" t="s">
        <v>412</v>
      </c>
      <c r="G129" s="628" t="str">
        <f t="shared" ref="G129:N129" si="24">G47</f>
        <v>und</v>
      </c>
      <c r="H129" s="628">
        <f t="shared" si="24"/>
        <v>0</v>
      </c>
      <c r="I129" s="628">
        <f t="shared" si="24"/>
        <v>0</v>
      </c>
      <c r="J129" s="628">
        <f t="shared" si="24"/>
        <v>0</v>
      </c>
      <c r="K129" s="628">
        <f t="shared" si="24"/>
        <v>0</v>
      </c>
      <c r="L129" s="628">
        <f t="shared" si="24"/>
        <v>0</v>
      </c>
      <c r="M129" s="628">
        <f t="shared" si="24"/>
        <v>0</v>
      </c>
      <c r="N129" s="932">
        <f t="shared" si="24"/>
        <v>0</v>
      </c>
      <c r="O129" s="629">
        <v>39195</v>
      </c>
      <c r="P129" s="911">
        <f t="shared" si="13"/>
        <v>0</v>
      </c>
      <c r="Q129" s="872"/>
      <c r="S129" s="1121"/>
    </row>
    <row r="130" spans="2:19" hidden="1" x14ac:dyDescent="0.25">
      <c r="B130" s="866"/>
      <c r="C130" s="870" t="e">
        <f>'FORMATO PROPUESTA ECONÓMICA'!#REF!</f>
        <v>#REF!</v>
      </c>
      <c r="D130" s="873"/>
      <c r="E130" s="620" t="e">
        <f>'7. Presup. Sector 3 '!E130</f>
        <v>#REF!</v>
      </c>
      <c r="F130" s="633" t="s">
        <v>413</v>
      </c>
      <c r="G130" s="628" t="str">
        <f t="shared" ref="G130:N130" si="25">G48</f>
        <v>und</v>
      </c>
      <c r="H130" s="628">
        <f t="shared" si="25"/>
        <v>0</v>
      </c>
      <c r="I130" s="628">
        <f t="shared" si="25"/>
        <v>0</v>
      </c>
      <c r="J130" s="628">
        <f t="shared" si="25"/>
        <v>0</v>
      </c>
      <c r="K130" s="628">
        <f t="shared" si="25"/>
        <v>0</v>
      </c>
      <c r="L130" s="628">
        <f t="shared" si="25"/>
        <v>0</v>
      </c>
      <c r="M130" s="628">
        <f t="shared" si="25"/>
        <v>0</v>
      </c>
      <c r="N130" s="932">
        <f t="shared" si="25"/>
        <v>0</v>
      </c>
      <c r="O130" s="629">
        <v>35639</v>
      </c>
      <c r="P130" s="911">
        <f t="shared" si="13"/>
        <v>0</v>
      </c>
      <c r="Q130" s="872"/>
      <c r="S130" s="1121"/>
    </row>
    <row r="131" spans="2:19" hidden="1" x14ac:dyDescent="0.25">
      <c r="B131" s="866"/>
      <c r="C131" s="870" t="e">
        <f>'FORMATO PROPUESTA ECONÓMICA'!#REF!</f>
        <v>#REF!</v>
      </c>
      <c r="D131" s="873"/>
      <c r="E131" s="620" t="e">
        <f>'7. Presup. Sector 3 '!E131</f>
        <v>#REF!</v>
      </c>
      <c r="F131" s="633" t="s">
        <v>414</v>
      </c>
      <c r="G131" s="628" t="str">
        <f t="shared" ref="G131:N131" si="26">G49</f>
        <v>und</v>
      </c>
      <c r="H131" s="628">
        <f t="shared" si="26"/>
        <v>0</v>
      </c>
      <c r="I131" s="628">
        <f t="shared" si="26"/>
        <v>0</v>
      </c>
      <c r="J131" s="628">
        <f t="shared" si="26"/>
        <v>0</v>
      </c>
      <c r="K131" s="628">
        <f t="shared" si="26"/>
        <v>0</v>
      </c>
      <c r="L131" s="628">
        <f t="shared" si="26"/>
        <v>0</v>
      </c>
      <c r="M131" s="628">
        <f t="shared" si="26"/>
        <v>0</v>
      </c>
      <c r="N131" s="932">
        <f t="shared" si="26"/>
        <v>0</v>
      </c>
      <c r="O131" s="629">
        <v>38236</v>
      </c>
      <c r="P131" s="911">
        <f t="shared" si="13"/>
        <v>0</v>
      </c>
      <c r="Q131" s="872"/>
      <c r="S131" s="1121"/>
    </row>
    <row r="132" spans="2:19" x14ac:dyDescent="0.25">
      <c r="B132" s="866"/>
      <c r="C132" s="870" t="e">
        <f>'FORMATO PROPUESTA ECONÓMICA'!#REF!</f>
        <v>#REF!</v>
      </c>
      <c r="D132" s="873"/>
      <c r="E132" s="620" t="e">
        <f>'7. Presup. Sector 3 '!E132</f>
        <v>#REF!</v>
      </c>
      <c r="F132" s="633" t="s">
        <v>415</v>
      </c>
      <c r="G132" s="628" t="str">
        <f t="shared" ref="G132:N132" si="27">G50</f>
        <v>und</v>
      </c>
      <c r="H132" s="628">
        <f t="shared" si="27"/>
        <v>0</v>
      </c>
      <c r="I132" s="628">
        <f t="shared" si="27"/>
        <v>0</v>
      </c>
      <c r="J132" s="628">
        <f t="shared" si="27"/>
        <v>0</v>
      </c>
      <c r="K132" s="628">
        <f t="shared" si="27"/>
        <v>0</v>
      </c>
      <c r="L132" s="628">
        <f t="shared" si="27"/>
        <v>0</v>
      </c>
      <c r="M132" s="628">
        <f t="shared" si="27"/>
        <v>0</v>
      </c>
      <c r="N132" s="932">
        <f t="shared" si="27"/>
        <v>10</v>
      </c>
      <c r="O132" s="629">
        <v>46509</v>
      </c>
      <c r="P132" s="911">
        <f t="shared" si="13"/>
        <v>465090</v>
      </c>
      <c r="Q132" s="872"/>
      <c r="S132" s="1121"/>
    </row>
    <row r="133" spans="2:19" x14ac:dyDescent="0.25">
      <c r="B133" s="866"/>
      <c r="C133" s="870" t="e">
        <f>'FORMATO PROPUESTA ECONÓMICA'!#REF!</f>
        <v>#REF!</v>
      </c>
      <c r="D133" s="873"/>
      <c r="E133" s="620" t="e">
        <f>'7. Presup. Sector 3 '!E133</f>
        <v>#REF!</v>
      </c>
      <c r="F133" s="633" t="s">
        <v>416</v>
      </c>
      <c r="G133" s="628" t="str">
        <f t="shared" ref="G133:N133" si="28">G51</f>
        <v>und</v>
      </c>
      <c r="H133" s="628">
        <f t="shared" si="28"/>
        <v>0</v>
      </c>
      <c r="I133" s="628">
        <f t="shared" si="28"/>
        <v>0</v>
      </c>
      <c r="J133" s="628">
        <f t="shared" si="28"/>
        <v>0</v>
      </c>
      <c r="K133" s="628">
        <f t="shared" si="28"/>
        <v>0</v>
      </c>
      <c r="L133" s="628">
        <f t="shared" si="28"/>
        <v>0</v>
      </c>
      <c r="M133" s="628">
        <f t="shared" si="28"/>
        <v>0</v>
      </c>
      <c r="N133" s="932">
        <f t="shared" si="28"/>
        <v>18</v>
      </c>
      <c r="O133" s="629">
        <v>35277.919999999998</v>
      </c>
      <c r="P133" s="911">
        <f t="shared" si="13"/>
        <v>635002.55999999994</v>
      </c>
      <c r="Q133" s="872"/>
      <c r="S133" s="1121"/>
    </row>
    <row r="134" spans="2:19" hidden="1" x14ac:dyDescent="0.25">
      <c r="B134" s="866"/>
      <c r="C134" s="870" t="e">
        <f>'FORMATO PROPUESTA ECONÓMICA'!#REF!</f>
        <v>#REF!</v>
      </c>
      <c r="D134" s="873"/>
      <c r="E134" s="620" t="e">
        <f>'7. Presup. Sector 3 '!E134</f>
        <v>#REF!</v>
      </c>
      <c r="F134" s="633" t="s">
        <v>417</v>
      </c>
      <c r="G134" s="628" t="str">
        <f t="shared" ref="G134:N134" si="29">G52</f>
        <v>und</v>
      </c>
      <c r="H134" s="628">
        <f t="shared" si="29"/>
        <v>0</v>
      </c>
      <c r="I134" s="628">
        <f t="shared" si="29"/>
        <v>0</v>
      </c>
      <c r="J134" s="628">
        <f t="shared" si="29"/>
        <v>0</v>
      </c>
      <c r="K134" s="628">
        <f t="shared" si="29"/>
        <v>0</v>
      </c>
      <c r="L134" s="628">
        <f t="shared" si="29"/>
        <v>0</v>
      </c>
      <c r="M134" s="628">
        <f t="shared" si="29"/>
        <v>0</v>
      </c>
      <c r="N134" s="932">
        <f t="shared" si="29"/>
        <v>0</v>
      </c>
      <c r="O134" s="629">
        <v>37681</v>
      </c>
      <c r="P134" s="911">
        <f t="shared" si="13"/>
        <v>0</v>
      </c>
      <c r="Q134" s="872"/>
      <c r="S134" s="1121"/>
    </row>
    <row r="135" spans="2:19" hidden="1" x14ac:dyDescent="0.25">
      <c r="B135" s="866"/>
      <c r="C135" s="870" t="e">
        <f>'FORMATO PROPUESTA ECONÓMICA'!#REF!</f>
        <v>#REF!</v>
      </c>
      <c r="D135" s="873"/>
      <c r="E135" s="620" t="e">
        <f>'7. Presup. Sector 3 '!E135</f>
        <v>#REF!</v>
      </c>
      <c r="F135" s="633" t="s">
        <v>393</v>
      </c>
      <c r="G135" s="628" t="str">
        <f t="shared" ref="G135:N135" si="30">G53</f>
        <v>und</v>
      </c>
      <c r="H135" s="628">
        <f t="shared" si="30"/>
        <v>0</v>
      </c>
      <c r="I135" s="628">
        <f t="shared" si="30"/>
        <v>0</v>
      </c>
      <c r="J135" s="628">
        <f t="shared" si="30"/>
        <v>0</v>
      </c>
      <c r="K135" s="628">
        <f t="shared" si="30"/>
        <v>0</v>
      </c>
      <c r="L135" s="628">
        <f t="shared" si="30"/>
        <v>0</v>
      </c>
      <c r="M135" s="628">
        <f t="shared" si="30"/>
        <v>0</v>
      </c>
      <c r="N135" s="932">
        <f t="shared" si="30"/>
        <v>0</v>
      </c>
      <c r="O135" s="629">
        <v>39675</v>
      </c>
      <c r="P135" s="911">
        <f t="shared" si="13"/>
        <v>0</v>
      </c>
      <c r="Q135" s="872"/>
      <c r="S135" s="1121"/>
    </row>
    <row r="136" spans="2:19" x14ac:dyDescent="0.25">
      <c r="B136" s="866"/>
      <c r="C136" s="870" t="e">
        <f>'FORMATO PROPUESTA ECONÓMICA'!#REF!</f>
        <v>#REF!</v>
      </c>
      <c r="D136" s="873"/>
      <c r="E136" s="620" t="e">
        <f>'7. Presup. Sector 3 '!E136</f>
        <v>#REF!</v>
      </c>
      <c r="F136" s="633" t="s">
        <v>394</v>
      </c>
      <c r="G136" s="628" t="str">
        <f t="shared" ref="G136:N136" si="31">G54</f>
        <v>und</v>
      </c>
      <c r="H136" s="628">
        <f t="shared" si="31"/>
        <v>0</v>
      </c>
      <c r="I136" s="628">
        <f t="shared" si="31"/>
        <v>0</v>
      </c>
      <c r="J136" s="628">
        <f t="shared" si="31"/>
        <v>0</v>
      </c>
      <c r="K136" s="628">
        <f t="shared" si="31"/>
        <v>0</v>
      </c>
      <c r="L136" s="628">
        <f t="shared" si="31"/>
        <v>0</v>
      </c>
      <c r="M136" s="628">
        <f t="shared" si="31"/>
        <v>0</v>
      </c>
      <c r="N136" s="932">
        <f t="shared" si="31"/>
        <v>1</v>
      </c>
      <c r="O136" s="629">
        <v>50625</v>
      </c>
      <c r="P136" s="911">
        <f t="shared" si="13"/>
        <v>50625</v>
      </c>
      <c r="Q136" s="872"/>
      <c r="S136" s="1121"/>
    </row>
    <row r="137" spans="2:19" x14ac:dyDescent="0.25">
      <c r="B137" s="866"/>
      <c r="C137" s="870" t="e">
        <f>'FORMATO PROPUESTA ECONÓMICA'!#REF!</f>
        <v>#REF!</v>
      </c>
      <c r="D137" s="873"/>
      <c r="E137" s="620" t="e">
        <f>'7. Presup. Sector 3 '!E137</f>
        <v>#REF!</v>
      </c>
      <c r="F137" s="633" t="s">
        <v>395</v>
      </c>
      <c r="G137" s="628" t="str">
        <f t="shared" ref="G137:N137" si="32">G55</f>
        <v>und</v>
      </c>
      <c r="H137" s="628">
        <f t="shared" si="32"/>
        <v>0</v>
      </c>
      <c r="I137" s="628">
        <f t="shared" si="32"/>
        <v>0</v>
      </c>
      <c r="J137" s="628">
        <f t="shared" si="32"/>
        <v>0</v>
      </c>
      <c r="K137" s="628">
        <f t="shared" si="32"/>
        <v>0</v>
      </c>
      <c r="L137" s="628">
        <f t="shared" si="32"/>
        <v>0</v>
      </c>
      <c r="M137" s="628">
        <f t="shared" si="32"/>
        <v>0</v>
      </c>
      <c r="N137" s="932">
        <f t="shared" si="32"/>
        <v>1</v>
      </c>
      <c r="O137" s="629">
        <v>134189</v>
      </c>
      <c r="P137" s="911">
        <f t="shared" si="13"/>
        <v>134189</v>
      </c>
      <c r="Q137" s="872"/>
      <c r="S137" s="1121"/>
    </row>
    <row r="138" spans="2:19" x14ac:dyDescent="0.25">
      <c r="B138" s="866"/>
      <c r="C138" s="870" t="e">
        <f>'FORMATO PROPUESTA ECONÓMICA'!#REF!</f>
        <v>#REF!</v>
      </c>
      <c r="D138" s="873"/>
      <c r="E138" s="620" t="e">
        <f>'7. Presup. Sector 3 '!E138</f>
        <v>#REF!</v>
      </c>
      <c r="F138" s="633" t="s">
        <v>396</v>
      </c>
      <c r="G138" s="628" t="str">
        <f t="shared" ref="G138:N138" si="33">G56</f>
        <v>und</v>
      </c>
      <c r="H138" s="628">
        <f t="shared" si="33"/>
        <v>0</v>
      </c>
      <c r="I138" s="628">
        <f t="shared" si="33"/>
        <v>0</v>
      </c>
      <c r="J138" s="628">
        <f t="shared" si="33"/>
        <v>0</v>
      </c>
      <c r="K138" s="628">
        <f t="shared" si="33"/>
        <v>0</v>
      </c>
      <c r="L138" s="628">
        <f t="shared" si="33"/>
        <v>0</v>
      </c>
      <c r="M138" s="628">
        <f t="shared" si="33"/>
        <v>0</v>
      </c>
      <c r="N138" s="932">
        <f t="shared" si="33"/>
        <v>3</v>
      </c>
      <c r="O138" s="629">
        <v>134189</v>
      </c>
      <c r="P138" s="911">
        <f t="shared" si="13"/>
        <v>402567</v>
      </c>
      <c r="Q138" s="872"/>
      <c r="S138" s="1121"/>
    </row>
    <row r="139" spans="2:19" hidden="1" x14ac:dyDescent="0.25">
      <c r="B139" s="866"/>
      <c r="C139" s="870" t="e">
        <f>'FORMATO PROPUESTA ECONÓMICA'!#REF!</f>
        <v>#REF!</v>
      </c>
      <c r="D139" s="873"/>
      <c r="E139" s="620" t="e">
        <f>'7. Presup. Sector 3 '!E139</f>
        <v>#REF!</v>
      </c>
      <c r="F139" s="633" t="s">
        <v>418</v>
      </c>
      <c r="G139" s="628" t="str">
        <f t="shared" ref="G139:N139" si="34">G57</f>
        <v>und</v>
      </c>
      <c r="H139" s="628">
        <f t="shared" si="34"/>
        <v>0</v>
      </c>
      <c r="I139" s="628">
        <f t="shared" si="34"/>
        <v>0</v>
      </c>
      <c r="J139" s="628">
        <f t="shared" si="34"/>
        <v>0</v>
      </c>
      <c r="K139" s="628">
        <f t="shared" si="34"/>
        <v>0</v>
      </c>
      <c r="L139" s="628">
        <f t="shared" si="34"/>
        <v>0</v>
      </c>
      <c r="M139" s="628">
        <f t="shared" si="34"/>
        <v>0</v>
      </c>
      <c r="N139" s="932">
        <f t="shared" si="34"/>
        <v>0</v>
      </c>
      <c r="O139" s="629">
        <v>29369</v>
      </c>
      <c r="P139" s="911">
        <f t="shared" si="13"/>
        <v>0</v>
      </c>
      <c r="Q139" s="872"/>
      <c r="S139" s="1121"/>
    </row>
    <row r="140" spans="2:19" x14ac:dyDescent="0.25">
      <c r="B140" s="866"/>
      <c r="C140" s="870" t="e">
        <f>'FORMATO PROPUESTA ECONÓMICA'!#REF!</f>
        <v>#REF!</v>
      </c>
      <c r="D140" s="873"/>
      <c r="E140" s="620" t="e">
        <f>'7. Presup. Sector 3 '!E140</f>
        <v>#REF!</v>
      </c>
      <c r="F140" s="633" t="s">
        <v>419</v>
      </c>
      <c r="G140" s="628" t="str">
        <f>G58</f>
        <v>und</v>
      </c>
      <c r="H140" s="628">
        <f t="shared" ref="H140:N140" si="35">H58</f>
        <v>0</v>
      </c>
      <c r="I140" s="628">
        <f t="shared" si="35"/>
        <v>0</v>
      </c>
      <c r="J140" s="628">
        <f t="shared" si="35"/>
        <v>0</v>
      </c>
      <c r="K140" s="628">
        <f t="shared" si="35"/>
        <v>0</v>
      </c>
      <c r="L140" s="628">
        <f t="shared" si="35"/>
        <v>0</v>
      </c>
      <c r="M140" s="628">
        <f t="shared" si="35"/>
        <v>0</v>
      </c>
      <c r="N140" s="932">
        <f t="shared" si="35"/>
        <v>30</v>
      </c>
      <c r="O140" s="629">
        <v>19705</v>
      </c>
      <c r="P140" s="911">
        <f t="shared" si="13"/>
        <v>591150</v>
      </c>
      <c r="Q140" s="872"/>
      <c r="S140" s="1121"/>
    </row>
    <row r="141" spans="2:19" x14ac:dyDescent="0.25">
      <c r="B141" s="866"/>
      <c r="C141" s="870" t="e">
        <f>'FORMATO PROPUESTA ECONÓMICA'!#REF!</f>
        <v>#REF!</v>
      </c>
      <c r="D141" s="873"/>
      <c r="E141" s="620" t="e">
        <f>'7. Presup. Sector 3 '!E141</f>
        <v>#REF!</v>
      </c>
      <c r="F141" s="633" t="s">
        <v>420</v>
      </c>
      <c r="G141" s="628" t="str">
        <f t="shared" ref="G141:N141" si="36">G59</f>
        <v>und</v>
      </c>
      <c r="H141" s="628">
        <f t="shared" si="36"/>
        <v>0</v>
      </c>
      <c r="I141" s="628">
        <f t="shared" si="36"/>
        <v>0</v>
      </c>
      <c r="J141" s="628">
        <f t="shared" si="36"/>
        <v>0</v>
      </c>
      <c r="K141" s="628">
        <f t="shared" si="36"/>
        <v>0</v>
      </c>
      <c r="L141" s="628">
        <f t="shared" si="36"/>
        <v>0</v>
      </c>
      <c r="M141" s="628">
        <f t="shared" si="36"/>
        <v>0</v>
      </c>
      <c r="N141" s="932">
        <f t="shared" si="36"/>
        <v>8</v>
      </c>
      <c r="O141" s="629">
        <v>24443</v>
      </c>
      <c r="P141" s="911">
        <f t="shared" si="13"/>
        <v>195544</v>
      </c>
      <c r="Q141" s="872"/>
      <c r="S141" s="1121"/>
    </row>
    <row r="142" spans="2:19" x14ac:dyDescent="0.25">
      <c r="B142" s="866" t="str">
        <f>+'[3]4.Secundarias B_El Bosque'!C61</f>
        <v>Tubería PE Øint. 327.8mm</v>
      </c>
      <c r="C142" s="870" t="e">
        <f>'FORMATO PROPUESTA ECONÓMICA'!#REF!</f>
        <v>#REF!</v>
      </c>
      <c r="D142" s="873"/>
      <c r="E142" s="620" t="e">
        <f>'7. Presup. Sector 3 '!E142</f>
        <v>#REF!</v>
      </c>
      <c r="F142" s="633" t="s">
        <v>421</v>
      </c>
      <c r="G142" s="628" t="str">
        <f t="shared" ref="G142:N142" si="37">G60</f>
        <v>und</v>
      </c>
      <c r="H142" s="628">
        <f t="shared" si="37"/>
        <v>0</v>
      </c>
      <c r="I142" s="628">
        <f t="shared" si="37"/>
        <v>0</v>
      </c>
      <c r="J142" s="628">
        <f t="shared" si="37"/>
        <v>0</v>
      </c>
      <c r="K142" s="628">
        <f t="shared" si="37"/>
        <v>0</v>
      </c>
      <c r="L142" s="628">
        <f t="shared" si="37"/>
        <v>0</v>
      </c>
      <c r="M142" s="628">
        <f t="shared" si="37"/>
        <v>0</v>
      </c>
      <c r="N142" s="932">
        <f t="shared" si="37"/>
        <v>2</v>
      </c>
      <c r="O142" s="629">
        <v>56681</v>
      </c>
      <c r="P142" s="911">
        <f t="shared" si="13"/>
        <v>113362</v>
      </c>
      <c r="Q142" s="872"/>
      <c r="S142" s="1121"/>
    </row>
    <row r="143" spans="2:19" x14ac:dyDescent="0.25">
      <c r="B143" s="866" t="str">
        <f>+'[3]1. Colector Principal'!C68</f>
        <v>Tubería PE Øint. 415.6mm</v>
      </c>
      <c r="C143" s="870" t="e">
        <f>'FORMATO PROPUESTA ECONÓMICA'!#REF!</f>
        <v>#REF!</v>
      </c>
      <c r="D143" s="873"/>
      <c r="E143" s="620" t="e">
        <f>'7. Presup. Sector 3 '!E143</f>
        <v>#REF!</v>
      </c>
      <c r="F143" s="633" t="s">
        <v>422</v>
      </c>
      <c r="G143" s="628" t="str">
        <f t="shared" ref="G143:N143" si="38">G61</f>
        <v>und</v>
      </c>
      <c r="H143" s="628">
        <f t="shared" si="38"/>
        <v>0</v>
      </c>
      <c r="I143" s="628">
        <f t="shared" si="38"/>
        <v>0</v>
      </c>
      <c r="J143" s="628">
        <f t="shared" si="38"/>
        <v>0</v>
      </c>
      <c r="K143" s="628">
        <f t="shared" si="38"/>
        <v>0</v>
      </c>
      <c r="L143" s="628">
        <f t="shared" si="38"/>
        <v>0</v>
      </c>
      <c r="M143" s="628">
        <f t="shared" si="38"/>
        <v>0</v>
      </c>
      <c r="N143" s="932">
        <f t="shared" si="38"/>
        <v>2</v>
      </c>
      <c r="O143" s="629">
        <v>110957</v>
      </c>
      <c r="P143" s="911">
        <f t="shared" si="13"/>
        <v>221914</v>
      </c>
      <c r="Q143" s="872"/>
      <c r="S143" s="1121"/>
    </row>
    <row r="144" spans="2:19" ht="30" x14ac:dyDescent="0.25">
      <c r="B144" s="866" t="str">
        <f>+'[3]5.Domiciliarias Colector La Yuq'!C35</f>
        <v>Suministro, transporte y colocacion de kit domiciliario en PE, incluye empaque, codo de 45° y espigo, en los siguientes diametros:</v>
      </c>
      <c r="C144" s="874" t="e">
        <f>'FORMATO PROPUESTA ECONÓMICA'!#REF!</f>
        <v>#REF!</v>
      </c>
      <c r="D144" s="741"/>
      <c r="E144" s="735" t="e">
        <f>'7. Presup. Sector 3 '!E144</f>
        <v>#REF!</v>
      </c>
      <c r="F144" s="43" t="s">
        <v>423</v>
      </c>
      <c r="G144" s="44"/>
      <c r="H144" s="39"/>
      <c r="I144" s="40"/>
      <c r="J144" s="41"/>
      <c r="K144" s="40"/>
      <c r="L144" s="40"/>
      <c r="M144" s="40"/>
      <c r="N144" s="39"/>
      <c r="O144" s="39"/>
      <c r="P144" s="912"/>
      <c r="Q144" s="872"/>
      <c r="S144" s="1121"/>
    </row>
    <row r="145" spans="2:19" ht="30" x14ac:dyDescent="0.25">
      <c r="B145" s="866" t="str">
        <f>+'[3]6.Domiciliarias B_Obrero'!C33</f>
        <v>184.6 mm x 147.7 mm</v>
      </c>
      <c r="C145" s="870" t="e">
        <f>'FORMATO PROPUESTA ECONÓMICA'!#REF!</f>
        <v>#REF!</v>
      </c>
      <c r="D145" s="873"/>
      <c r="E145" s="634" t="e">
        <f>'7. Presup. Sector 3 '!E145</f>
        <v>#REF!</v>
      </c>
      <c r="F145" s="633" t="s">
        <v>402</v>
      </c>
      <c r="G145" s="628" t="str">
        <f>G65</f>
        <v>ml</v>
      </c>
      <c r="H145" s="628">
        <f t="shared" ref="H145:N145" si="39">H65</f>
        <v>0</v>
      </c>
      <c r="I145" s="628">
        <f t="shared" si="39"/>
        <v>0</v>
      </c>
      <c r="J145" s="628">
        <f t="shared" si="39"/>
        <v>1.0000004147351824</v>
      </c>
      <c r="K145" s="628">
        <f t="shared" si="39"/>
        <v>0</v>
      </c>
      <c r="L145" s="628">
        <f t="shared" si="39"/>
        <v>0</v>
      </c>
      <c r="M145" s="628">
        <f t="shared" si="39"/>
        <v>0</v>
      </c>
      <c r="N145" s="932">
        <f t="shared" si="39"/>
        <v>4800</v>
      </c>
      <c r="O145" s="629">
        <v>2433.6799999999998</v>
      </c>
      <c r="P145" s="911">
        <f t="shared" ref="P145:P160" si="40">IF(ISERROR(+N145*O145),"",+N145*O145)</f>
        <v>11681664</v>
      </c>
      <c r="Q145" s="872"/>
      <c r="S145" s="1121"/>
    </row>
    <row r="146" spans="2:19" ht="30" hidden="1" x14ac:dyDescent="0.25">
      <c r="B146" s="866" t="str">
        <f>+'[3]5.Domiciliarias Colector La Yuq'!C36</f>
        <v>230.8 mm x 147.7 mm</v>
      </c>
      <c r="C146" s="870" t="e">
        <f>'FORMATO PROPUESTA ECONÓMICA'!#REF!</f>
        <v>#REF!</v>
      </c>
      <c r="D146" s="873"/>
      <c r="E146" s="634" t="e">
        <f>'7. Presup. Sector 3 '!E146</f>
        <v>#REF!</v>
      </c>
      <c r="F146" s="633" t="s">
        <v>403</v>
      </c>
      <c r="G146" s="628" t="str">
        <f t="shared" ref="G146:N146" si="41">G66</f>
        <v>ml</v>
      </c>
      <c r="H146" s="628">
        <f t="shared" si="41"/>
        <v>0</v>
      </c>
      <c r="I146" s="628">
        <f t="shared" si="41"/>
        <v>0</v>
      </c>
      <c r="J146" s="628">
        <f t="shared" si="41"/>
        <v>0.99999988060184275</v>
      </c>
      <c r="K146" s="628">
        <f t="shared" si="41"/>
        <v>0</v>
      </c>
      <c r="L146" s="628">
        <f t="shared" si="41"/>
        <v>0</v>
      </c>
      <c r="M146" s="628">
        <f t="shared" si="41"/>
        <v>0</v>
      </c>
      <c r="N146" s="932">
        <f t="shared" si="41"/>
        <v>0</v>
      </c>
      <c r="O146" s="629">
        <v>3778.12</v>
      </c>
      <c r="P146" s="911">
        <f t="shared" si="40"/>
        <v>0</v>
      </c>
      <c r="Q146" s="872"/>
      <c r="S146" s="1121"/>
    </row>
    <row r="147" spans="2:19" hidden="1" x14ac:dyDescent="0.25">
      <c r="B147" s="866" t="str">
        <f>+'[3]5.Domiciliarias Colector La Yuq'!C37</f>
        <v>290.8 mm x 147.7 mm</v>
      </c>
      <c r="C147" s="870" t="e">
        <f>'FORMATO PROPUESTA ECONÓMICA'!#REF!</f>
        <v>#REF!</v>
      </c>
      <c r="D147" s="873"/>
      <c r="E147" s="634" t="e">
        <f>'7. Presup. Sector 3 '!E147</f>
        <v>#REF!</v>
      </c>
      <c r="F147" s="633" t="s">
        <v>424</v>
      </c>
      <c r="G147" s="628" t="str">
        <f t="shared" ref="G147:N147" si="42">G67</f>
        <v>und</v>
      </c>
      <c r="H147" s="628">
        <f t="shared" si="42"/>
        <v>0</v>
      </c>
      <c r="I147" s="628">
        <f t="shared" si="42"/>
        <v>0</v>
      </c>
      <c r="J147" s="628">
        <f t="shared" si="42"/>
        <v>0</v>
      </c>
      <c r="K147" s="628">
        <f t="shared" si="42"/>
        <v>0</v>
      </c>
      <c r="L147" s="628">
        <f t="shared" si="42"/>
        <v>0</v>
      </c>
      <c r="M147" s="628">
        <f t="shared" si="42"/>
        <v>0</v>
      </c>
      <c r="N147" s="932">
        <f t="shared" si="42"/>
        <v>0</v>
      </c>
      <c r="O147" s="629">
        <v>14618</v>
      </c>
      <c r="P147" s="911">
        <f t="shared" si="40"/>
        <v>0</v>
      </c>
      <c r="Q147" s="872"/>
      <c r="S147" s="1121"/>
    </row>
    <row r="148" spans="2:19" hidden="1" x14ac:dyDescent="0.25">
      <c r="B148" s="866" t="str">
        <f>+'[3]8.Domiciliarias B_El Bosque'!C37</f>
        <v>327.8 mm x 147.7 mm</v>
      </c>
      <c r="C148" s="870" t="e">
        <f>'FORMATO PROPUESTA ECONÓMICA'!#REF!</f>
        <v>#REF!</v>
      </c>
      <c r="D148" s="873"/>
      <c r="E148" s="634" t="e">
        <f>'7. Presup. Sector 3 '!E148</f>
        <v>#REF!</v>
      </c>
      <c r="F148" s="633" t="s">
        <v>426</v>
      </c>
      <c r="G148" s="628" t="str">
        <f t="shared" ref="G148:N148" si="43">G68</f>
        <v>und</v>
      </c>
      <c r="H148" s="628">
        <f t="shared" si="43"/>
        <v>0</v>
      </c>
      <c r="I148" s="628">
        <f t="shared" si="43"/>
        <v>0</v>
      </c>
      <c r="J148" s="628">
        <f t="shared" si="43"/>
        <v>0</v>
      </c>
      <c r="K148" s="628">
        <f t="shared" si="43"/>
        <v>0</v>
      </c>
      <c r="L148" s="628">
        <f t="shared" si="43"/>
        <v>0</v>
      </c>
      <c r="M148" s="628">
        <f t="shared" si="43"/>
        <v>0</v>
      </c>
      <c r="N148" s="932">
        <f t="shared" si="43"/>
        <v>0</v>
      </c>
      <c r="O148" s="629">
        <v>14618</v>
      </c>
      <c r="P148" s="911">
        <f t="shared" si="40"/>
        <v>0</v>
      </c>
      <c r="Q148" s="872"/>
      <c r="S148" s="1121"/>
    </row>
    <row r="149" spans="2:19" x14ac:dyDescent="0.25">
      <c r="B149" s="866"/>
      <c r="C149" s="870" t="e">
        <f>'FORMATO PROPUESTA ECONÓMICA'!#REF!</f>
        <v>#REF!</v>
      </c>
      <c r="D149" s="873"/>
      <c r="E149" s="634" t="e">
        <f>'7. Presup. Sector 3 '!E149</f>
        <v>#REF!</v>
      </c>
      <c r="F149" s="633" t="s">
        <v>425</v>
      </c>
      <c r="G149" s="628" t="str">
        <f t="shared" ref="G149:N149" si="44">G69</f>
        <v>und</v>
      </c>
      <c r="H149" s="628">
        <f t="shared" si="44"/>
        <v>0</v>
      </c>
      <c r="I149" s="628">
        <f t="shared" si="44"/>
        <v>0</v>
      </c>
      <c r="J149" s="628">
        <f t="shared" si="44"/>
        <v>0</v>
      </c>
      <c r="K149" s="628">
        <f t="shared" si="44"/>
        <v>0</v>
      </c>
      <c r="L149" s="628">
        <f t="shared" si="44"/>
        <v>0</v>
      </c>
      <c r="M149" s="628">
        <f t="shared" si="44"/>
        <v>0</v>
      </c>
      <c r="N149" s="932">
        <f t="shared" si="44"/>
        <v>675</v>
      </c>
      <c r="O149" s="629">
        <v>14618</v>
      </c>
      <c r="P149" s="911">
        <f t="shared" si="40"/>
        <v>9867150</v>
      </c>
      <c r="Q149" s="872"/>
      <c r="S149" s="1121"/>
    </row>
    <row r="150" spans="2:19" hidden="1" x14ac:dyDescent="0.25">
      <c r="B150" s="866"/>
      <c r="C150" s="870" t="e">
        <f>'FORMATO PROPUESTA ECONÓMICA'!#REF!</f>
        <v>#REF!</v>
      </c>
      <c r="D150" s="873"/>
      <c r="E150" s="634" t="e">
        <f>'7. Presup. Sector 3 '!E150</f>
        <v>#REF!</v>
      </c>
      <c r="F150" s="633" t="s">
        <v>427</v>
      </c>
      <c r="G150" s="628" t="str">
        <f t="shared" ref="G150:N150" si="45">G70</f>
        <v>und</v>
      </c>
      <c r="H150" s="628">
        <f t="shared" si="45"/>
        <v>0</v>
      </c>
      <c r="I150" s="628">
        <f t="shared" si="45"/>
        <v>0</v>
      </c>
      <c r="J150" s="628">
        <f t="shared" si="45"/>
        <v>0</v>
      </c>
      <c r="K150" s="628">
        <f t="shared" si="45"/>
        <v>0</v>
      </c>
      <c r="L150" s="628">
        <f t="shared" si="45"/>
        <v>0</v>
      </c>
      <c r="M150" s="628">
        <f t="shared" si="45"/>
        <v>0</v>
      </c>
      <c r="N150" s="932">
        <f t="shared" si="45"/>
        <v>0</v>
      </c>
      <c r="O150" s="629">
        <v>14618</v>
      </c>
      <c r="P150" s="911">
        <f t="shared" si="40"/>
        <v>0</v>
      </c>
      <c r="Q150" s="872"/>
      <c r="S150" s="1121"/>
    </row>
    <row r="151" spans="2:19" x14ac:dyDescent="0.25">
      <c r="B151" s="866"/>
      <c r="C151" s="870" t="e">
        <f>'FORMATO PROPUESTA ECONÓMICA'!#REF!</f>
        <v>#REF!</v>
      </c>
      <c r="D151" s="873"/>
      <c r="E151" s="634" t="e">
        <f>'7. Presup. Sector 3 '!E151</f>
        <v>#REF!</v>
      </c>
      <c r="F151" s="633" t="s">
        <v>428</v>
      </c>
      <c r="G151" s="628" t="str">
        <f t="shared" ref="G151:N151" si="46">G71</f>
        <v>und</v>
      </c>
      <c r="H151" s="628">
        <f t="shared" si="46"/>
        <v>0</v>
      </c>
      <c r="I151" s="628">
        <f t="shared" si="46"/>
        <v>0</v>
      </c>
      <c r="J151" s="628">
        <f t="shared" si="46"/>
        <v>0</v>
      </c>
      <c r="K151" s="628">
        <f t="shared" si="46"/>
        <v>0</v>
      </c>
      <c r="L151" s="628">
        <f t="shared" si="46"/>
        <v>0</v>
      </c>
      <c r="M151" s="628">
        <f t="shared" si="46"/>
        <v>0</v>
      </c>
      <c r="N151" s="932">
        <f t="shared" si="46"/>
        <v>125</v>
      </c>
      <c r="O151" s="629">
        <v>14618</v>
      </c>
      <c r="P151" s="911">
        <f t="shared" si="40"/>
        <v>1827250</v>
      </c>
      <c r="Q151" s="872"/>
      <c r="S151" s="1121"/>
    </row>
    <row r="152" spans="2:19" x14ac:dyDescent="0.25">
      <c r="B152" s="866"/>
      <c r="C152" s="870" t="e">
        <f>'FORMATO PROPUESTA ECONÓMICA'!#REF!</f>
        <v>#REF!</v>
      </c>
      <c r="D152" s="873"/>
      <c r="E152" s="634" t="e">
        <f>'7. Presup. Sector 3 '!E152</f>
        <v>#REF!</v>
      </c>
      <c r="F152" s="633" t="s">
        <v>477</v>
      </c>
      <c r="G152" s="628" t="str">
        <f>G72</f>
        <v>und</v>
      </c>
      <c r="H152" s="628">
        <f t="shared" ref="H152:M152" si="47">H72</f>
        <v>0</v>
      </c>
      <c r="I152" s="628">
        <f t="shared" si="47"/>
        <v>0</v>
      </c>
      <c r="J152" s="628">
        <f t="shared" si="47"/>
        <v>0</v>
      </c>
      <c r="K152" s="628">
        <f t="shared" si="47"/>
        <v>0</v>
      </c>
      <c r="L152" s="628">
        <f t="shared" si="47"/>
        <v>0</v>
      </c>
      <c r="M152" s="628">
        <f t="shared" si="47"/>
        <v>0</v>
      </c>
      <c r="N152" s="1011">
        <f>N72/2</f>
        <v>400</v>
      </c>
      <c r="O152" s="629">
        <v>3996</v>
      </c>
      <c r="P152" s="911">
        <f t="shared" si="40"/>
        <v>1598400</v>
      </c>
      <c r="Q152" s="872"/>
      <c r="S152" s="1121"/>
    </row>
    <row r="153" spans="2:19" hidden="1" x14ac:dyDescent="0.25">
      <c r="B153" s="866"/>
      <c r="C153" s="870" t="e">
        <f>'FORMATO PROPUESTA ECONÓMICA'!#REF!</f>
        <v>#REF!</v>
      </c>
      <c r="D153" s="873"/>
      <c r="E153" s="634">
        <f>'7. Presup. Sector 3 '!E153</f>
        <v>14.9</v>
      </c>
      <c r="F153" s="633" t="s">
        <v>342</v>
      </c>
      <c r="G153" s="628" t="str">
        <f t="shared" ref="G153:G154" si="48">G73</f>
        <v>und</v>
      </c>
      <c r="H153" s="628">
        <f t="shared" ref="H153:N153" si="49">H73</f>
        <v>0</v>
      </c>
      <c r="I153" s="628">
        <f t="shared" si="49"/>
        <v>0</v>
      </c>
      <c r="J153" s="628">
        <f t="shared" si="49"/>
        <v>1</v>
      </c>
      <c r="K153" s="628">
        <f t="shared" si="49"/>
        <v>0</v>
      </c>
      <c r="L153" s="628">
        <f t="shared" si="49"/>
        <v>0</v>
      </c>
      <c r="M153" s="628">
        <f t="shared" si="49"/>
        <v>0</v>
      </c>
      <c r="N153" s="932">
        <f t="shared" si="49"/>
        <v>0</v>
      </c>
      <c r="O153" s="629">
        <v>5316</v>
      </c>
      <c r="P153" s="911">
        <f t="shared" ref="P153:P154" si="50">IF(ISERROR(+N153*O153),"",+N153*O153)</f>
        <v>0</v>
      </c>
      <c r="Q153" s="872"/>
      <c r="S153" s="1121"/>
    </row>
    <row r="154" spans="2:19" x14ac:dyDescent="0.25">
      <c r="B154" s="866"/>
      <c r="C154" s="870" t="e">
        <f>'FORMATO PROPUESTA ECONÓMICA'!#REF!</f>
        <v>#REF!</v>
      </c>
      <c r="D154" s="873"/>
      <c r="E154" s="634" t="e">
        <f>'7. Presup. Sector 3 '!E154</f>
        <v>#REF!</v>
      </c>
      <c r="F154" s="633" t="s">
        <v>476</v>
      </c>
      <c r="G154" s="628" t="str">
        <f t="shared" si="48"/>
        <v>und</v>
      </c>
      <c r="H154" s="628"/>
      <c r="I154" s="628"/>
      <c r="J154" s="628"/>
      <c r="K154" s="628"/>
      <c r="L154" s="628"/>
      <c r="M154" s="628"/>
      <c r="N154" s="1011">
        <f>N72/2</f>
        <v>400</v>
      </c>
      <c r="O154" s="629">
        <v>3996</v>
      </c>
      <c r="P154" s="911">
        <f t="shared" si="50"/>
        <v>1598400</v>
      </c>
      <c r="Q154" s="872"/>
      <c r="S154" s="1121"/>
    </row>
    <row r="155" spans="2:19" x14ac:dyDescent="0.25">
      <c r="B155" s="866"/>
      <c r="C155" s="870" t="e">
        <f>'FORMATO PROPUESTA ECONÓMICA'!#REF!</f>
        <v>#REF!</v>
      </c>
      <c r="D155" s="873"/>
      <c r="E155" s="634" t="e">
        <f>'7. Presup. Sector 3 '!E155</f>
        <v>#REF!</v>
      </c>
      <c r="F155" s="633" t="s">
        <v>344</v>
      </c>
      <c r="G155" s="628" t="str">
        <f t="shared" ref="G155:N155" si="51">G74</f>
        <v>und</v>
      </c>
      <c r="H155" s="628">
        <f t="shared" si="51"/>
        <v>0</v>
      </c>
      <c r="I155" s="628">
        <f t="shared" si="51"/>
        <v>0</v>
      </c>
      <c r="J155" s="628">
        <f t="shared" si="51"/>
        <v>1.0000039227956519</v>
      </c>
      <c r="K155" s="628">
        <f t="shared" si="51"/>
        <v>0</v>
      </c>
      <c r="L155" s="628">
        <f t="shared" si="51"/>
        <v>0</v>
      </c>
      <c r="M155" s="628">
        <f t="shared" si="51"/>
        <v>0</v>
      </c>
      <c r="N155" s="932">
        <f t="shared" si="51"/>
        <v>800</v>
      </c>
      <c r="O155" s="629">
        <v>3996</v>
      </c>
      <c r="P155" s="911">
        <f t="shared" si="40"/>
        <v>3196800</v>
      </c>
      <c r="Q155" s="872"/>
      <c r="S155" s="1121"/>
    </row>
    <row r="156" spans="2:19" x14ac:dyDescent="0.25">
      <c r="B156" s="866"/>
      <c r="C156" s="870" t="e">
        <f>'FORMATO PROPUESTA ECONÓMICA'!#REF!</f>
        <v>#REF!</v>
      </c>
      <c r="D156" s="873"/>
      <c r="E156" s="620" t="e">
        <f>'7. Presup. Sector 3 '!E156</f>
        <v>#REF!</v>
      </c>
      <c r="F156" s="633" t="s">
        <v>345</v>
      </c>
      <c r="G156" s="628" t="str">
        <f t="shared" ref="G156:N156" si="52">G75</f>
        <v>und</v>
      </c>
      <c r="H156" s="628">
        <f t="shared" si="52"/>
        <v>0</v>
      </c>
      <c r="I156" s="628">
        <f t="shared" si="52"/>
        <v>0</v>
      </c>
      <c r="J156" s="628">
        <f t="shared" si="52"/>
        <v>0.99999968892509594</v>
      </c>
      <c r="K156" s="628">
        <f t="shared" si="52"/>
        <v>0</v>
      </c>
      <c r="L156" s="628">
        <f t="shared" si="52"/>
        <v>0</v>
      </c>
      <c r="M156" s="628">
        <f t="shared" si="52"/>
        <v>0</v>
      </c>
      <c r="N156" s="932">
        <f t="shared" si="52"/>
        <v>800</v>
      </c>
      <c r="O156" s="629">
        <v>15225</v>
      </c>
      <c r="P156" s="911">
        <f t="shared" si="40"/>
        <v>12180000</v>
      </c>
      <c r="Q156" s="872"/>
      <c r="S156" s="1121"/>
    </row>
    <row r="157" spans="2:19" ht="90" hidden="1" x14ac:dyDescent="0.25">
      <c r="B157" s="866"/>
      <c r="C157" s="870" t="e">
        <f>'FORMATO PROPUESTA ECONÓMICA'!#REF!</f>
        <v>#REF!</v>
      </c>
      <c r="D157" s="873"/>
      <c r="E157" s="620" t="e">
        <f>'7. Presup. Sector 3 '!E157</f>
        <v>#REF!</v>
      </c>
      <c r="F157" s="633" t="s">
        <v>353</v>
      </c>
      <c r="G157" s="628" t="str">
        <f t="shared" ref="G157:N157" si="53">G76</f>
        <v>und</v>
      </c>
      <c r="H157" s="628">
        <f t="shared" si="53"/>
        <v>0</v>
      </c>
      <c r="I157" s="628">
        <f t="shared" si="53"/>
        <v>0</v>
      </c>
      <c r="J157" s="628">
        <f t="shared" si="53"/>
        <v>1</v>
      </c>
      <c r="K157" s="628">
        <f t="shared" si="53"/>
        <v>0</v>
      </c>
      <c r="L157" s="628">
        <f t="shared" si="53"/>
        <v>0</v>
      </c>
      <c r="M157" s="628">
        <f t="shared" si="53"/>
        <v>0</v>
      </c>
      <c r="N157" s="932">
        <f t="shared" si="53"/>
        <v>800</v>
      </c>
      <c r="O157" s="629"/>
      <c r="P157" s="911">
        <f t="shared" si="40"/>
        <v>0</v>
      </c>
      <c r="Q157" s="872"/>
      <c r="S157" s="1121"/>
    </row>
    <row r="158" spans="2:19" x14ac:dyDescent="0.25">
      <c r="B158" s="866"/>
      <c r="C158" s="870" t="e">
        <f>'FORMATO PROPUESTA ECONÓMICA'!#REF!</f>
        <v>#REF!</v>
      </c>
      <c r="D158" s="873"/>
      <c r="E158" s="620" t="e">
        <f>'7. Presup. Sector 3 '!E158</f>
        <v>#REF!</v>
      </c>
      <c r="F158" s="633" t="s">
        <v>346</v>
      </c>
      <c r="G158" s="628" t="str">
        <f t="shared" ref="G158:N158" si="54">G77</f>
        <v>und</v>
      </c>
      <c r="H158" s="628">
        <f t="shared" si="54"/>
        <v>0</v>
      </c>
      <c r="I158" s="628">
        <f t="shared" si="54"/>
        <v>0</v>
      </c>
      <c r="J158" s="628">
        <f t="shared" si="54"/>
        <v>1</v>
      </c>
      <c r="K158" s="628">
        <f t="shared" si="54"/>
        <v>0</v>
      </c>
      <c r="L158" s="628">
        <f t="shared" si="54"/>
        <v>0</v>
      </c>
      <c r="M158" s="628">
        <f t="shared" si="54"/>
        <v>0</v>
      </c>
      <c r="N158" s="932">
        <f t="shared" si="54"/>
        <v>800</v>
      </c>
      <c r="O158" s="629">
        <v>7350</v>
      </c>
      <c r="P158" s="911">
        <f t="shared" si="40"/>
        <v>5880000</v>
      </c>
      <c r="Q158" s="872"/>
      <c r="S158" s="1121"/>
    </row>
    <row r="159" spans="2:19" x14ac:dyDescent="0.25">
      <c r="B159" s="866" t="str">
        <f>+'[3]5.Domiciliarias Colector La Yuq'!C38</f>
        <v>415.6 mm x 147.7 mm</v>
      </c>
      <c r="C159" s="870" t="e">
        <f>'FORMATO PROPUESTA ECONÓMICA'!#REF!</f>
        <v>#REF!</v>
      </c>
      <c r="D159" s="873"/>
      <c r="E159" s="620" t="e">
        <f>'7. Presup. Sector 3 '!E159</f>
        <v>#REF!</v>
      </c>
      <c r="F159" s="633" t="s">
        <v>347</v>
      </c>
      <c r="G159" s="628" t="str">
        <f t="shared" ref="G159:N159" si="55">G78</f>
        <v>und</v>
      </c>
      <c r="H159" s="628">
        <f t="shared" si="55"/>
        <v>0</v>
      </c>
      <c r="I159" s="628">
        <f t="shared" si="55"/>
        <v>0</v>
      </c>
      <c r="J159" s="628">
        <f t="shared" si="55"/>
        <v>0.99995051233937871</v>
      </c>
      <c r="K159" s="628">
        <f t="shared" si="55"/>
        <v>0</v>
      </c>
      <c r="L159" s="628">
        <f t="shared" si="55"/>
        <v>0</v>
      </c>
      <c r="M159" s="628">
        <f t="shared" si="55"/>
        <v>0</v>
      </c>
      <c r="N159" s="932">
        <f t="shared" si="55"/>
        <v>800</v>
      </c>
      <c r="O159" s="629">
        <v>394</v>
      </c>
      <c r="P159" s="911">
        <f t="shared" si="40"/>
        <v>315200</v>
      </c>
      <c r="Q159" s="872"/>
      <c r="S159" s="1121"/>
    </row>
    <row r="160" spans="2:19" x14ac:dyDescent="0.25">
      <c r="B160" s="866" t="str">
        <f>+'[3]5.Domiciliarias Colector La Yuq'!C39</f>
        <v>461.8 mm x 147.7 mm</v>
      </c>
      <c r="C160" s="870" t="e">
        <f>'FORMATO PROPUESTA ECONÓMICA'!#REF!</f>
        <v>#REF!</v>
      </c>
      <c r="D160" s="873"/>
      <c r="E160" s="620" t="e">
        <f>'7. Presup. Sector 3 '!E160</f>
        <v>#REF!</v>
      </c>
      <c r="F160" s="633" t="s">
        <v>348</v>
      </c>
      <c r="G160" s="628" t="str">
        <f t="shared" ref="G160:N160" si="56">G79</f>
        <v>und</v>
      </c>
      <c r="H160" s="628">
        <f t="shared" si="56"/>
        <v>0</v>
      </c>
      <c r="I160" s="628">
        <f t="shared" si="56"/>
        <v>0</v>
      </c>
      <c r="J160" s="628">
        <f t="shared" si="56"/>
        <v>1</v>
      </c>
      <c r="K160" s="628">
        <f t="shared" si="56"/>
        <v>0</v>
      </c>
      <c r="L160" s="628">
        <f t="shared" si="56"/>
        <v>0</v>
      </c>
      <c r="M160" s="628">
        <f t="shared" si="56"/>
        <v>0</v>
      </c>
      <c r="N160" s="932">
        <f t="shared" si="56"/>
        <v>800</v>
      </c>
      <c r="O160" s="629">
        <v>616</v>
      </c>
      <c r="P160" s="911">
        <f t="shared" si="40"/>
        <v>492800</v>
      </c>
      <c r="Q160" s="872"/>
      <c r="S160" s="1121"/>
    </row>
    <row r="161" spans="3:19" x14ac:dyDescent="0.25">
      <c r="D161" s="877"/>
      <c r="E161" s="878"/>
      <c r="F161" s="878"/>
      <c r="G161" s="878"/>
      <c r="H161" s="878"/>
      <c r="I161" s="878"/>
      <c r="J161" s="878"/>
      <c r="K161" s="878"/>
      <c r="L161" s="878"/>
      <c r="M161" s="878"/>
      <c r="N161" s="930"/>
      <c r="O161" s="930"/>
      <c r="P161" s="878"/>
    </row>
    <row r="162" spans="3:19" ht="15.75" thickBot="1" x14ac:dyDescent="0.3">
      <c r="D162" s="879"/>
      <c r="G162" s="865"/>
      <c r="H162" s="865"/>
      <c r="I162" s="865"/>
      <c r="J162" s="865"/>
      <c r="K162" s="880" t="str">
        <f>+O162</f>
        <v>OBRA CIVIL</v>
      </c>
      <c r="L162" s="880" t="str">
        <f>+P162</f>
        <v>SUMINISTRO</v>
      </c>
      <c r="M162" s="865"/>
      <c r="O162" s="925" t="str">
        <f>+F9</f>
        <v>OBRA CIVIL</v>
      </c>
      <c r="P162" s="918" t="str">
        <f>+F115</f>
        <v>SUMINISTRO</v>
      </c>
    </row>
    <row r="163" spans="3:19" x14ac:dyDescent="0.25">
      <c r="C163" s="782"/>
      <c r="D163" s="783"/>
      <c r="E163" s="783"/>
      <c r="F163" s="783" t="s">
        <v>19</v>
      </c>
      <c r="G163" s="783"/>
      <c r="H163" s="783"/>
      <c r="I163" s="783"/>
      <c r="J163" s="783"/>
      <c r="K163" s="784">
        <f>+SUM(L11:L114)</f>
        <v>0</v>
      </c>
      <c r="L163" s="784"/>
      <c r="M163" s="783"/>
      <c r="N163" s="933"/>
      <c r="O163" s="784">
        <f>+SUM(P11:P114)</f>
        <v>0</v>
      </c>
      <c r="P163" s="919"/>
    </row>
    <row r="164" spans="3:19" x14ac:dyDescent="0.25">
      <c r="C164" s="785"/>
      <c r="D164" s="786"/>
      <c r="E164" s="786"/>
      <c r="F164" s="786" t="s">
        <v>20</v>
      </c>
      <c r="G164" s="786"/>
      <c r="H164" s="786"/>
      <c r="I164" s="786"/>
      <c r="J164" s="786"/>
      <c r="K164" s="787"/>
      <c r="L164" s="787">
        <f>+SUM(L117:L160)</f>
        <v>0</v>
      </c>
      <c r="M164" s="786"/>
      <c r="N164" s="934"/>
      <c r="O164" s="787"/>
      <c r="P164" s="920">
        <f>+SUM(P117:P160)*1.16</f>
        <v>165852455.75359997</v>
      </c>
    </row>
    <row r="165" spans="3:19" x14ac:dyDescent="0.25">
      <c r="C165" s="785"/>
      <c r="D165" s="786"/>
      <c r="E165" s="786"/>
      <c r="F165" s="786" t="s">
        <v>21</v>
      </c>
      <c r="G165" s="786"/>
      <c r="H165" s="786"/>
      <c r="I165" s="786"/>
      <c r="J165" s="786"/>
      <c r="K165" s="883">
        <f>+K163</f>
        <v>0</v>
      </c>
      <c r="L165" s="883">
        <f>+L164</f>
        <v>0</v>
      </c>
      <c r="M165" s="786"/>
      <c r="N165" s="934"/>
      <c r="O165" s="883">
        <f>+O163</f>
        <v>0</v>
      </c>
      <c r="P165" s="921">
        <f>+P164</f>
        <v>165852455.75359997</v>
      </c>
    </row>
    <row r="166" spans="3:19" x14ac:dyDescent="0.25">
      <c r="C166" s="789"/>
      <c r="D166" s="790"/>
      <c r="E166" s="790"/>
      <c r="F166" s="791" t="s">
        <v>22</v>
      </c>
      <c r="G166" s="790"/>
      <c r="H166" s="790"/>
      <c r="I166" s="790"/>
      <c r="J166" s="790"/>
      <c r="K166" s="1430">
        <f>+L165+K165</f>
        <v>0</v>
      </c>
      <c r="L166" s="1430"/>
      <c r="M166" s="790"/>
      <c r="N166" s="791"/>
      <c r="O166" s="1430">
        <f>+P165+O165</f>
        <v>165852455.75359997</v>
      </c>
      <c r="P166" s="1430"/>
    </row>
    <row r="167" spans="3:19" x14ac:dyDescent="0.25">
      <c r="C167" s="792"/>
      <c r="D167" s="793"/>
      <c r="E167" s="793"/>
      <c r="F167" s="786" t="s">
        <v>337</v>
      </c>
      <c r="G167" s="793"/>
      <c r="H167" s="793"/>
      <c r="I167" s="793"/>
      <c r="J167" s="793"/>
      <c r="K167" s="787" t="e">
        <f>+K165*$N167</f>
        <v>#DIV/0!</v>
      </c>
      <c r="L167" s="787"/>
      <c r="M167" s="793"/>
      <c r="N167" s="935" t="e">
        <f>ROUND(AU!G70,2)</f>
        <v>#DIV/0!</v>
      </c>
      <c r="O167" s="787" t="e">
        <f>+O165*$N167</f>
        <v>#DIV/0!</v>
      </c>
      <c r="P167" s="920"/>
    </row>
    <row r="168" spans="3:19" x14ac:dyDescent="0.25">
      <c r="C168" s="792"/>
      <c r="D168" s="793"/>
      <c r="E168" s="793"/>
      <c r="F168" s="786" t="s">
        <v>338</v>
      </c>
      <c r="G168" s="793"/>
      <c r="H168" s="793"/>
      <c r="I168" s="793"/>
      <c r="J168" s="793"/>
      <c r="K168" s="787"/>
      <c r="L168" s="787">
        <f>+L165*$N168</f>
        <v>0</v>
      </c>
      <c r="M168" s="793"/>
      <c r="N168" s="935">
        <v>0.08</v>
      </c>
      <c r="O168" s="787"/>
      <c r="P168" s="920">
        <f>+P165*$N168</f>
        <v>13268196.460287997</v>
      </c>
    </row>
    <row r="169" spans="3:19" x14ac:dyDescent="0.25">
      <c r="C169" s="789"/>
      <c r="D169" s="790"/>
      <c r="E169" s="790"/>
      <c r="F169" s="791" t="s">
        <v>23</v>
      </c>
      <c r="G169" s="790"/>
      <c r="H169" s="790"/>
      <c r="I169" s="790"/>
      <c r="J169" s="790"/>
      <c r="K169" s="1430" t="e">
        <f>+K167+L168</f>
        <v>#DIV/0!</v>
      </c>
      <c r="L169" s="1430"/>
      <c r="M169" s="790"/>
      <c r="N169" s="791"/>
      <c r="O169" s="1430" t="e">
        <f>+O167+P168</f>
        <v>#DIV/0!</v>
      </c>
      <c r="P169" s="1430"/>
      <c r="S169" s="872"/>
    </row>
    <row r="170" spans="3:19" x14ac:dyDescent="0.25">
      <c r="C170" s="792"/>
      <c r="D170" s="793"/>
      <c r="E170" s="793"/>
      <c r="F170" s="786" t="s">
        <v>24</v>
      </c>
      <c r="G170" s="793"/>
      <c r="H170" s="793"/>
      <c r="I170" s="793"/>
      <c r="J170" s="793"/>
      <c r="K170" s="883" t="e">
        <f>+K167+K165</f>
        <v>#DIV/0!</v>
      </c>
      <c r="L170" s="883">
        <f>+L168+L165</f>
        <v>0</v>
      </c>
      <c r="M170" s="793"/>
      <c r="N170" s="935"/>
      <c r="O170" s="883" t="e">
        <f>+O167+O165</f>
        <v>#DIV/0!</v>
      </c>
      <c r="P170" s="921">
        <f>+P168+P165</f>
        <v>179120652.21388796</v>
      </c>
    </row>
    <row r="171" spans="3:19" x14ac:dyDescent="0.25">
      <c r="C171" s="789"/>
      <c r="D171" s="790"/>
      <c r="E171" s="790"/>
      <c r="F171" s="791" t="s">
        <v>25</v>
      </c>
      <c r="G171" s="790"/>
      <c r="H171" s="790"/>
      <c r="I171" s="790"/>
      <c r="J171" s="790"/>
      <c r="K171" s="1430" t="e">
        <f>+K170+L170</f>
        <v>#DIV/0!</v>
      </c>
      <c r="L171" s="1430"/>
      <c r="M171" s="790"/>
      <c r="N171" s="791"/>
      <c r="O171" s="1430" t="e">
        <f>+O170+P170</f>
        <v>#DIV/0!</v>
      </c>
      <c r="P171" s="1430"/>
    </row>
    <row r="172" spans="3:19" x14ac:dyDescent="0.25">
      <c r="C172" s="792"/>
      <c r="D172" s="793"/>
      <c r="E172" s="793"/>
      <c r="F172" s="786" t="s">
        <v>40</v>
      </c>
      <c r="G172" s="793"/>
      <c r="H172" s="793"/>
      <c r="I172" s="793"/>
      <c r="J172" s="793"/>
      <c r="K172" s="787" t="e">
        <f>+K170*$N172</f>
        <v>#DIV/0!</v>
      </c>
      <c r="L172" s="787"/>
      <c r="M172" s="793"/>
      <c r="N172" s="935">
        <v>0.08</v>
      </c>
      <c r="O172" s="787" t="e">
        <f>+O170*$N172</f>
        <v>#DIV/0!</v>
      </c>
      <c r="P172" s="920"/>
    </row>
    <row r="173" spans="3:19" x14ac:dyDescent="0.25">
      <c r="C173" s="792"/>
      <c r="D173" s="793"/>
      <c r="E173" s="793"/>
      <c r="F173" s="786" t="s">
        <v>41</v>
      </c>
      <c r="G173" s="793"/>
      <c r="H173" s="793"/>
      <c r="I173" s="793"/>
      <c r="J173" s="793"/>
      <c r="K173" s="787"/>
      <c r="L173" s="787">
        <f>+L170*$N173</f>
        <v>0</v>
      </c>
      <c r="M173" s="793"/>
      <c r="N173" s="935">
        <v>0.02</v>
      </c>
      <c r="O173" s="787"/>
      <c r="P173" s="920">
        <f>+P170*$N173</f>
        <v>3582413.0442777593</v>
      </c>
    </row>
    <row r="174" spans="3:19" x14ac:dyDescent="0.25">
      <c r="C174" s="789"/>
      <c r="D174" s="790"/>
      <c r="E174" s="790"/>
      <c r="F174" s="791" t="s">
        <v>26</v>
      </c>
      <c r="G174" s="790"/>
      <c r="H174" s="790"/>
      <c r="I174" s="790"/>
      <c r="J174" s="790"/>
      <c r="K174" s="1430" t="e">
        <f>+L173+K172</f>
        <v>#DIV/0!</v>
      </c>
      <c r="L174" s="1430"/>
      <c r="M174" s="790"/>
      <c r="N174" s="791"/>
      <c r="O174" s="1430" t="e">
        <f>+P173+O172</f>
        <v>#DIV/0!</v>
      </c>
      <c r="P174" s="1430"/>
    </row>
    <row r="175" spans="3:19" x14ac:dyDescent="0.25">
      <c r="C175" s="792"/>
      <c r="D175" s="793"/>
      <c r="E175" s="793"/>
      <c r="F175" s="794"/>
      <c r="G175" s="793"/>
      <c r="H175" s="793"/>
      <c r="I175" s="793"/>
      <c r="J175" s="793"/>
      <c r="K175" s="883" t="e">
        <f>+K172+K170</f>
        <v>#DIV/0!</v>
      </c>
      <c r="L175" s="883">
        <f>+L173+L170</f>
        <v>0</v>
      </c>
      <c r="M175" s="793"/>
      <c r="N175" s="935"/>
      <c r="O175" s="883" t="e">
        <f>+O172+O170</f>
        <v>#DIV/0!</v>
      </c>
      <c r="P175" s="921">
        <f>+P173+P170</f>
        <v>182703065.25816572</v>
      </c>
    </row>
    <row r="176" spans="3:19" x14ac:dyDescent="0.25">
      <c r="C176" s="789"/>
      <c r="D176" s="790"/>
      <c r="E176" s="790"/>
      <c r="F176" s="795" t="s">
        <v>27</v>
      </c>
      <c r="G176" s="790"/>
      <c r="H176" s="790"/>
      <c r="I176" s="790"/>
      <c r="J176" s="790"/>
      <c r="K176" s="1430" t="e">
        <f>+K175+L175</f>
        <v>#DIV/0!</v>
      </c>
      <c r="L176" s="1430"/>
      <c r="M176" s="790"/>
      <c r="N176" s="791"/>
      <c r="O176" s="1430" t="e">
        <f>+O175+P175</f>
        <v>#DIV/0!</v>
      </c>
      <c r="P176" s="1430"/>
    </row>
    <row r="177" spans="3:16" x14ac:dyDescent="0.25">
      <c r="C177" s="792"/>
      <c r="D177" s="793"/>
      <c r="E177" s="793"/>
      <c r="F177" s="786" t="s">
        <v>28</v>
      </c>
      <c r="G177" s="793"/>
      <c r="H177" s="793"/>
      <c r="I177" s="793"/>
      <c r="J177" s="793"/>
      <c r="K177" s="787" t="e">
        <f>+K175*$N177/(1-$N177)</f>
        <v>#DIV/0!</v>
      </c>
      <c r="L177" s="787"/>
      <c r="M177" s="793"/>
      <c r="N177" s="935">
        <v>0.02</v>
      </c>
      <c r="O177" s="787" t="e">
        <f>+O175*$N177/(1-$N177)</f>
        <v>#DIV/0!</v>
      </c>
      <c r="P177" s="920"/>
    </row>
    <row r="178" spans="3:16" x14ac:dyDescent="0.25">
      <c r="C178" s="792"/>
      <c r="D178" s="793"/>
      <c r="E178" s="793"/>
      <c r="F178" s="786"/>
      <c r="G178" s="793"/>
      <c r="H178" s="793"/>
      <c r="I178" s="793"/>
      <c r="J178" s="793"/>
      <c r="K178" s="787"/>
      <c r="L178" s="787">
        <f>+L175*$N178/(1-$N178)</f>
        <v>0</v>
      </c>
      <c r="M178" s="793"/>
      <c r="N178" s="935">
        <v>0.02</v>
      </c>
      <c r="O178" s="787"/>
      <c r="P178" s="920">
        <f>+P175*$N178/(1-$N178)</f>
        <v>3728633.984860525</v>
      </c>
    </row>
    <row r="179" spans="3:16" x14ac:dyDescent="0.25">
      <c r="C179" s="789"/>
      <c r="D179" s="790"/>
      <c r="E179" s="790"/>
      <c r="F179" s="791" t="s">
        <v>29</v>
      </c>
      <c r="G179" s="790"/>
      <c r="H179" s="790"/>
      <c r="I179" s="790"/>
      <c r="J179" s="790"/>
      <c r="K179" s="1430" t="e">
        <f>+K177+L178</f>
        <v>#DIV/0!</v>
      </c>
      <c r="L179" s="1430"/>
      <c r="M179" s="790"/>
      <c r="N179" s="791"/>
      <c r="O179" s="1430" t="e">
        <f>+O177+P178</f>
        <v>#DIV/0!</v>
      </c>
      <c r="P179" s="1430"/>
    </row>
    <row r="180" spans="3:16" x14ac:dyDescent="0.25">
      <c r="C180" s="792"/>
      <c r="D180" s="793"/>
      <c r="E180" s="793"/>
      <c r="F180" s="786" t="s">
        <v>30</v>
      </c>
      <c r="G180" s="793"/>
      <c r="H180" s="793"/>
      <c r="I180" s="793"/>
      <c r="J180" s="793"/>
      <c r="K180" s="883" t="e">
        <f>+K177+K175</f>
        <v>#DIV/0!</v>
      </c>
      <c r="L180" s="883">
        <f>+L178+L175</f>
        <v>0</v>
      </c>
      <c r="M180" s="793"/>
      <c r="N180" s="935"/>
      <c r="O180" s="883" t="e">
        <f>+O177+O175</f>
        <v>#DIV/0!</v>
      </c>
      <c r="P180" s="921">
        <f>+P178+P175</f>
        <v>186431699.24302626</v>
      </c>
    </row>
    <row r="181" spans="3:16" ht="15.75" thickBot="1" x14ac:dyDescent="0.3">
      <c r="C181" s="796"/>
      <c r="D181" s="797"/>
      <c r="E181" s="797"/>
      <c r="F181" s="798" t="s">
        <v>31</v>
      </c>
      <c r="G181" s="797"/>
      <c r="H181" s="797"/>
      <c r="I181" s="797"/>
      <c r="J181" s="797"/>
      <c r="K181" s="1432" t="e">
        <f>+K180+L180</f>
        <v>#DIV/0!</v>
      </c>
      <c r="L181" s="1432"/>
      <c r="M181" s="797"/>
      <c r="N181" s="936"/>
      <c r="O181" s="1432" t="e">
        <f>+O180+P180</f>
        <v>#DIV/0!</v>
      </c>
      <c r="P181" s="1432"/>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81"/>
  <sheetViews>
    <sheetView topLeftCell="A173" zoomScale="85" zoomScaleNormal="85" workbookViewId="0">
      <selection activeCell="R11" sqref="R11:S161"/>
    </sheetView>
  </sheetViews>
  <sheetFormatPr baseColWidth="10" defaultColWidth="9.140625" defaultRowHeight="15" x14ac:dyDescent="0.25"/>
  <cols>
    <col min="1" max="1" width="3.7109375" style="21" customWidth="1"/>
    <col min="2" max="2" width="11.28515625" style="21" hidden="1" customWidth="1"/>
    <col min="3" max="3" width="14.28515625" style="1" customWidth="1"/>
    <col min="4" max="4" width="9.28515625" style="2" customWidth="1"/>
    <col min="5" max="5" width="9.5703125" style="2" customWidth="1"/>
    <col min="6" max="6" width="51.28515625" style="2" customWidth="1"/>
    <col min="7" max="7" width="11" style="2" customWidth="1"/>
    <col min="8" max="11" width="14.5703125" style="2" hidden="1" customWidth="1"/>
    <col min="12" max="13" width="15.140625" style="2" hidden="1" customWidth="1"/>
    <col min="14" max="14" width="12.42578125" style="2" customWidth="1"/>
    <col min="15" max="15" width="16.140625" style="1001" customWidth="1"/>
    <col min="16" max="16" width="21" style="1001" customWidth="1"/>
    <col min="17" max="17" width="3.7109375" style="21" customWidth="1"/>
    <col min="18" max="18" width="21.7109375" style="21" customWidth="1"/>
    <col min="19" max="19" width="25.5703125" style="21" customWidth="1"/>
    <col min="20" max="20" width="24.7109375" style="21" customWidth="1"/>
    <col min="21" max="16384" width="9.140625" style="21"/>
  </cols>
  <sheetData>
    <row r="2" spans="2:20" x14ac:dyDescent="0.25">
      <c r="C2" s="1434" t="s">
        <v>372</v>
      </c>
      <c r="D2" s="1434"/>
      <c r="E2" s="1434"/>
      <c r="F2" s="1434"/>
      <c r="G2" s="1434"/>
      <c r="H2" s="1434"/>
      <c r="I2" s="1434"/>
      <c r="J2" s="1434"/>
      <c r="K2" s="1434"/>
      <c r="L2" s="1434"/>
      <c r="M2" s="1434"/>
      <c r="N2" s="1434"/>
      <c r="O2" s="1434"/>
      <c r="P2" s="1434"/>
    </row>
    <row r="3" spans="2:20" x14ac:dyDescent="0.25">
      <c r="C3" s="1434"/>
      <c r="D3" s="1434"/>
      <c r="E3" s="1434"/>
      <c r="F3" s="1434"/>
      <c r="G3" s="1434"/>
      <c r="H3" s="1434"/>
      <c r="I3" s="1434"/>
      <c r="J3" s="1434"/>
      <c r="K3" s="1434"/>
      <c r="L3" s="1434"/>
      <c r="M3" s="1434"/>
      <c r="N3" s="1434"/>
      <c r="O3" s="1434"/>
      <c r="P3" s="1434"/>
      <c r="R3" s="613"/>
    </row>
    <row r="4" spans="2:20" ht="15.75" x14ac:dyDescent="0.25">
      <c r="C4" s="22"/>
      <c r="D4" s="22"/>
      <c r="E4" s="22"/>
      <c r="F4" s="881" t="s">
        <v>475</v>
      </c>
      <c r="G4" s="22"/>
      <c r="H4" s="22"/>
      <c r="I4" s="22"/>
      <c r="J4" s="22"/>
      <c r="K4" s="22"/>
      <c r="L4" s="22"/>
      <c r="M4" s="22"/>
      <c r="N4" s="987"/>
      <c r="O4" s="1003"/>
      <c r="P4" s="1003"/>
    </row>
    <row r="6" spans="2:20" ht="15" customHeight="1" x14ac:dyDescent="0.25"/>
    <row r="7" spans="2:20" ht="36" customHeight="1" x14ac:dyDescent="0.3">
      <c r="C7" s="4" t="s">
        <v>53</v>
      </c>
      <c r="D7" s="4" t="s">
        <v>0</v>
      </c>
      <c r="E7" s="4" t="s">
        <v>43</v>
      </c>
      <c r="F7" s="4" t="s">
        <v>1</v>
      </c>
      <c r="G7" s="3" t="s">
        <v>2</v>
      </c>
      <c r="H7" s="3"/>
      <c r="I7" s="3"/>
      <c r="J7" s="3"/>
      <c r="K7" s="3"/>
      <c r="L7" s="3"/>
      <c r="M7" s="3"/>
      <c r="N7" s="988" t="s">
        <v>3</v>
      </c>
      <c r="O7" s="1004" t="s">
        <v>4</v>
      </c>
      <c r="P7" s="1004" t="s">
        <v>5</v>
      </c>
    </row>
    <row r="8" spans="2:20" ht="15.75" x14ac:dyDescent="0.3">
      <c r="C8" s="5"/>
      <c r="D8" s="5"/>
      <c r="E8" s="5"/>
      <c r="F8" s="5"/>
      <c r="G8" s="5"/>
      <c r="H8" s="5"/>
      <c r="I8" s="5"/>
      <c r="J8" s="5"/>
      <c r="K8" s="5"/>
      <c r="L8" s="5"/>
      <c r="M8" s="5"/>
      <c r="N8" s="989"/>
      <c r="O8" s="1005"/>
      <c r="P8" s="1005"/>
    </row>
    <row r="9" spans="2:20" ht="21" x14ac:dyDescent="0.3">
      <c r="C9" s="5"/>
      <c r="D9" s="5"/>
      <c r="E9" s="5"/>
      <c r="F9" s="19" t="s">
        <v>19</v>
      </c>
      <c r="G9" s="5"/>
      <c r="H9" s="5"/>
      <c r="I9" s="5"/>
      <c r="J9" s="5"/>
      <c r="K9" s="5"/>
      <c r="L9" s="5"/>
      <c r="M9" s="5"/>
      <c r="N9" s="989"/>
      <c r="O9" s="1005"/>
      <c r="P9" s="1005"/>
    </row>
    <row r="10" spans="2:20" x14ac:dyDescent="0.25">
      <c r="B10" s="1" t="str">
        <f>+'[3]1. Colector Principal'!C13</f>
        <v>Excavación manual en material común:</v>
      </c>
      <c r="C10" s="36"/>
      <c r="D10" s="36"/>
      <c r="E10" s="42">
        <v>1</v>
      </c>
      <c r="F10" s="45" t="s">
        <v>54</v>
      </c>
      <c r="G10" s="45"/>
      <c r="H10" s="44"/>
      <c r="I10" s="44"/>
      <c r="J10" s="44"/>
      <c r="K10" s="44"/>
      <c r="L10" s="44"/>
      <c r="M10" s="44"/>
      <c r="N10" s="912"/>
      <c r="O10" s="40" t="str">
        <f>IF(D10="","",VLOOKUP(D10,#REF!,7,0))</f>
        <v/>
      </c>
      <c r="P10" s="39" t="str">
        <f>IF(ISERROR(+N10*O10),"",+N10*O10)</f>
        <v/>
      </c>
    </row>
    <row r="11" spans="2:20" ht="51" customHeight="1" x14ac:dyDescent="0.25">
      <c r="B11" s="1" t="str">
        <f>+'[3]1. Colector Principal'!C14</f>
        <v>Seco, entre 0 m y 2 m de profundidad</v>
      </c>
      <c r="C11" s="618" t="e">
        <f>'FORMATO PROPUESTA ECONÓMICA'!#REF!</f>
        <v>#REF!</v>
      </c>
      <c r="D11" s="619"/>
      <c r="E11" s="620">
        <f>'FORMATO PROPUESTA ECONÓMICA'!A8</f>
        <v>1.1000000000000001</v>
      </c>
      <c r="F11" s="621"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990">
        <f>559*1</f>
        <v>559</v>
      </c>
      <c r="O11" s="629">
        <f>'FORMATO PROPUESTA ECONÓMICA'!E8</f>
        <v>0</v>
      </c>
      <c r="P11" s="629">
        <f>IF(ISERROR(+N11*O11),"",+N11*O11)</f>
        <v>0</v>
      </c>
      <c r="Q11" s="24"/>
      <c r="S11" s="1122"/>
    </row>
    <row r="12" spans="2:20" x14ac:dyDescent="0.25">
      <c r="B12" s="1" t="str">
        <f>+'[3]1. Colector Principal'!C15</f>
        <v>Seco, entre 2 m y 4 m de profundidad</v>
      </c>
      <c r="C12" s="618" t="e">
        <f>'FORMATO PROPUESTA ECONÓMICA'!#REF!</f>
        <v>#REF!</v>
      </c>
      <c r="D12" s="626"/>
      <c r="E12" s="620">
        <f>'FORMATO PROPUESTA ECONÓMICA'!A9</f>
        <v>1.2</v>
      </c>
      <c r="F12" s="627"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990">
        <f>+N11*0.5+0.2</f>
        <v>279.7</v>
      </c>
      <c r="O12" s="629">
        <f>'FORMATO PROPUESTA ECONÓMICA'!E9</f>
        <v>0</v>
      </c>
      <c r="P12" s="629">
        <f>IF(ISERROR(+N12*O12),"",+N12*O12)</f>
        <v>0</v>
      </c>
      <c r="Q12" s="24"/>
      <c r="S12" s="1122"/>
    </row>
    <row r="13" spans="2:20" x14ac:dyDescent="0.25">
      <c r="B13" s="1" t="str">
        <f>+'[3]1. Colector Principal'!C16</f>
        <v>Seco, mayor a 4 m de profundidad</v>
      </c>
      <c r="C13" s="618" t="e">
        <f>'FORMATO PROPUESTA ECONÓMICA'!#REF!</f>
        <v>#REF!</v>
      </c>
      <c r="D13" s="626"/>
      <c r="E13" s="620">
        <f>'FORMATO PROPUESTA ECONÓMICA'!A10</f>
        <v>1.3</v>
      </c>
      <c r="F13" s="627"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990">
        <v>459</v>
      </c>
      <c r="O13" s="629">
        <f>'FORMATO PROPUESTA ECONÓMICA'!E10</f>
        <v>0</v>
      </c>
      <c r="P13" s="629">
        <f>IF(ISERROR(+N13*O13),"",+N13*O13)</f>
        <v>0</v>
      </c>
      <c r="Q13" s="24"/>
      <c r="S13" s="1122"/>
    </row>
    <row r="14" spans="2:20" x14ac:dyDescent="0.25">
      <c r="B14" s="1" t="str">
        <f>+'[3]1. Colector Principal'!C17</f>
        <v>Húmedo , entre 0 m y 2 m de profundidad</v>
      </c>
      <c r="C14" s="618" t="e">
        <f>'FORMATO PROPUESTA ECONÓMICA'!#REF!</f>
        <v>#REF!</v>
      </c>
      <c r="D14" s="626"/>
      <c r="E14" s="620">
        <f>'FORMATO PROPUESTA ECONÓMICA'!A11</f>
        <v>1.4</v>
      </c>
      <c r="F14" s="627"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990">
        <f>+N13</f>
        <v>459</v>
      </c>
      <c r="O14" s="629">
        <f>'FORMATO PROPUESTA ECONÓMICA'!E11</f>
        <v>0</v>
      </c>
      <c r="P14" s="629">
        <f>IF(ISERROR(+N14*O14),"",+N14*O14)</f>
        <v>0</v>
      </c>
      <c r="Q14" s="24"/>
      <c r="S14" s="1122"/>
    </row>
    <row r="15" spans="2:20" x14ac:dyDescent="0.25">
      <c r="B15" s="1"/>
      <c r="C15" s="708"/>
      <c r="D15" s="37"/>
      <c r="E15" s="721">
        <f>'FORMATO PROPUESTA ECONÓMICA'!A12</f>
        <v>2</v>
      </c>
      <c r="F15" s="574" t="s">
        <v>60</v>
      </c>
      <c r="G15" s="44"/>
      <c r="H15" s="39"/>
      <c r="I15" s="40"/>
      <c r="J15" s="41"/>
      <c r="K15" s="40"/>
      <c r="L15" s="40"/>
      <c r="M15" s="40"/>
      <c r="N15" s="991"/>
      <c r="O15" s="39"/>
      <c r="P15" s="39"/>
      <c r="Q15" s="24"/>
      <c r="R15" s="616"/>
      <c r="S15" s="1122"/>
      <c r="T15" s="21">
        <f>1.44*P15</f>
        <v>0</v>
      </c>
    </row>
    <row r="16" spans="2:20" x14ac:dyDescent="0.25">
      <c r="B16" s="1"/>
      <c r="C16" s="708"/>
      <c r="D16" s="37"/>
      <c r="E16" s="721">
        <f>'FORMATO PROPUESTA ECONÓMICA'!A13</f>
        <v>2.1</v>
      </c>
      <c r="F16" s="574" t="s">
        <v>61</v>
      </c>
      <c r="G16" s="44"/>
      <c r="H16" s="39"/>
      <c r="I16" s="40"/>
      <c r="J16" s="41"/>
      <c r="K16" s="40"/>
      <c r="L16" s="40"/>
      <c r="M16" s="40"/>
      <c r="N16" s="991"/>
      <c r="O16" s="39"/>
      <c r="P16" s="39"/>
      <c r="Q16" s="24"/>
      <c r="R16" s="616"/>
      <c r="S16" s="1122"/>
    </row>
    <row r="17" spans="2:19" ht="30" x14ac:dyDescent="0.25">
      <c r="B17" s="1"/>
      <c r="C17" s="618" t="e">
        <f>'FORMATO PROPUESTA ECONÓMICA'!#REF!</f>
        <v>#REF!</v>
      </c>
      <c r="D17" s="626"/>
      <c r="E17" s="620">
        <f>'FORMATO PROPUESTA ECONÓMICA'!A14</f>
        <v>2.2000000000000002</v>
      </c>
      <c r="F17" s="632" t="s">
        <v>62</v>
      </c>
      <c r="G17" s="628" t="s">
        <v>15</v>
      </c>
      <c r="H17" s="629"/>
      <c r="I17" s="630"/>
      <c r="J17" s="631"/>
      <c r="K17" s="630"/>
      <c r="L17" s="630"/>
      <c r="M17" s="630"/>
      <c r="N17" s="982">
        <f>(N36*0.6*1.1+N39*0.7*1.2)+N65*0.4*0.5</f>
        <v>3413.04</v>
      </c>
      <c r="O17" s="629">
        <f>'FORMATO PROPUESTA ECONÓMICA'!E14</f>
        <v>0</v>
      </c>
      <c r="P17" s="629">
        <f>IF(ISERROR(+N17*O17),"",+N17*O17)</f>
        <v>0</v>
      </c>
      <c r="Q17" s="24"/>
      <c r="R17" s="616"/>
      <c r="S17" s="1122"/>
    </row>
    <row r="18" spans="2:19" ht="45" x14ac:dyDescent="0.25">
      <c r="B18" s="1"/>
      <c r="C18" s="618" t="e">
        <f>'FORMATO PROPUESTA ECONÓMICA'!#REF!</f>
        <v>#REF!</v>
      </c>
      <c r="D18" s="626"/>
      <c r="E18" s="620">
        <f>'FORMATO PROPUESTA ECONÓMICA'!A15</f>
        <v>2.2999999999999998</v>
      </c>
      <c r="F18" s="632" t="s">
        <v>431</v>
      </c>
      <c r="G18" s="628" t="s">
        <v>15</v>
      </c>
      <c r="H18" s="629"/>
      <c r="I18" s="630"/>
      <c r="J18" s="631"/>
      <c r="K18" s="630"/>
      <c r="L18" s="630"/>
      <c r="M18" s="630"/>
      <c r="N18" s="982">
        <f>45*0.22</f>
        <v>9.9</v>
      </c>
      <c r="O18" s="629">
        <f>'FORMATO PROPUESTA ECONÓMICA'!E15</f>
        <v>0</v>
      </c>
      <c r="P18" s="629">
        <f>IF(ISERROR(+N18*O18),"",+N18*O18)</f>
        <v>0</v>
      </c>
      <c r="Q18" s="24"/>
      <c r="R18" s="616"/>
      <c r="S18" s="1122"/>
    </row>
    <row r="19" spans="2:19" ht="75" x14ac:dyDescent="0.25">
      <c r="B19" s="1" t="str">
        <f>+'[3]1. Colector Principal'!C22</f>
        <v>Entibados en madera</v>
      </c>
      <c r="C19" s="708" t="e">
        <f>'FORMATO PROPUESTA ECONÓMICA'!#REF!</f>
        <v>#REF!</v>
      </c>
      <c r="D19" s="37"/>
      <c r="E19" s="721">
        <f>'FORMATO PROPUESTA ECONÓMICA'!A17</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991"/>
      <c r="O19" s="39"/>
      <c r="P19" s="39"/>
      <c r="Q19" s="24"/>
      <c r="R19" s="616"/>
      <c r="S19" s="1122"/>
    </row>
    <row r="20" spans="2:19" ht="30" x14ac:dyDescent="0.25">
      <c r="B20" s="1"/>
      <c r="C20" s="618" t="e">
        <f>'FORMATO PROPUESTA ECONÓMICA'!#REF!</f>
        <v>#REF!</v>
      </c>
      <c r="D20" s="626"/>
      <c r="E20" s="620">
        <f>'FORMATO PROPUESTA ECONÓMICA'!A18</f>
        <v>3.1</v>
      </c>
      <c r="F20" s="633" t="s">
        <v>64</v>
      </c>
      <c r="G20" s="628" t="s">
        <v>15</v>
      </c>
      <c r="H20" s="629"/>
      <c r="I20" s="630"/>
      <c r="J20" s="631"/>
      <c r="K20" s="630"/>
      <c r="L20" s="630"/>
      <c r="M20" s="630"/>
      <c r="N20" s="990">
        <f>(N17+N18)*0.2</f>
        <v>684.58800000000008</v>
      </c>
      <c r="O20" s="629">
        <f>'FORMATO PROPUESTA ECONÓMICA'!E18</f>
        <v>0</v>
      </c>
      <c r="P20" s="629">
        <f t="shared" ref="P20:P25" si="1">IF(ISERROR(+N20*O20),"",+N20*O20)</f>
        <v>0</v>
      </c>
      <c r="Q20" s="24"/>
      <c r="R20" s="616"/>
      <c r="S20" s="1122"/>
    </row>
    <row r="21" spans="2:19" ht="30" x14ac:dyDescent="0.25">
      <c r="B21" s="1"/>
      <c r="C21" s="618" t="e">
        <f>'FORMATO PROPUESTA ECONÓMICA'!#REF!</f>
        <v>#REF!</v>
      </c>
      <c r="D21" s="626"/>
      <c r="E21" s="620">
        <f>'FORMATO PROPUESTA ECONÓMICA'!A19</f>
        <v>3.2</v>
      </c>
      <c r="F21" s="633" t="s">
        <v>65</v>
      </c>
      <c r="G21" s="628" t="s">
        <v>15</v>
      </c>
      <c r="H21" s="629"/>
      <c r="I21" s="630"/>
      <c r="J21" s="631"/>
      <c r="K21" s="630"/>
      <c r="L21" s="630"/>
      <c r="M21" s="630"/>
      <c r="N21" s="990">
        <f>(N17+N18)*0.5-N24-N25</f>
        <v>1516.8700000000001</v>
      </c>
      <c r="O21" s="629">
        <f>'FORMATO PROPUESTA ECONÓMICA'!E19</f>
        <v>0</v>
      </c>
      <c r="P21" s="629">
        <f t="shared" si="1"/>
        <v>0</v>
      </c>
      <c r="Q21" s="24"/>
      <c r="R21" s="616"/>
      <c r="S21" s="1122"/>
    </row>
    <row r="22" spans="2:19" ht="30" x14ac:dyDescent="0.25">
      <c r="B22" s="1"/>
      <c r="C22" s="618" t="e">
        <f>'FORMATO PROPUESTA ECONÓMICA'!#REF!</f>
        <v>#REF!</v>
      </c>
      <c r="D22" s="626"/>
      <c r="E22" s="620">
        <f>'FORMATO PROPUESTA ECONÓMICA'!A20</f>
        <v>3.3</v>
      </c>
      <c r="F22" s="633" t="s">
        <v>66</v>
      </c>
      <c r="G22" s="628" t="s">
        <v>15</v>
      </c>
      <c r="H22" s="629"/>
      <c r="I22" s="630"/>
      <c r="J22" s="631"/>
      <c r="K22" s="630"/>
      <c r="L22" s="630"/>
      <c r="M22" s="630"/>
      <c r="N22" s="990">
        <f>(N17+N18)*0.3</f>
        <v>1026.8820000000001</v>
      </c>
      <c r="O22" s="629">
        <f>'FORMATO PROPUESTA ECONÓMICA'!E20</f>
        <v>0</v>
      </c>
      <c r="P22" s="629">
        <f t="shared" si="1"/>
        <v>0</v>
      </c>
      <c r="Q22" s="24"/>
      <c r="R22" s="616"/>
      <c r="S22" s="1122"/>
    </row>
    <row r="23" spans="2:19" hidden="1" x14ac:dyDescent="0.25">
      <c r="B23" s="1"/>
      <c r="C23" s="618" t="e">
        <f>'FORMATO PROPUESTA ECONÓMICA'!#REF!</f>
        <v>#REF!</v>
      </c>
      <c r="D23" s="619"/>
      <c r="E23" s="620">
        <f>'FORMATO PROPUESTA ECONÓMICA'!A21</f>
        <v>3.4</v>
      </c>
      <c r="F23" s="633" t="s">
        <v>67</v>
      </c>
      <c r="G23" s="628"/>
      <c r="H23" s="629"/>
      <c r="I23" s="630"/>
      <c r="J23" s="631"/>
      <c r="K23" s="630"/>
      <c r="L23" s="630"/>
      <c r="M23" s="630"/>
      <c r="N23" s="990">
        <f>N112</f>
        <v>0</v>
      </c>
      <c r="O23" s="629">
        <f>'FORMATO PROPUESTA ECONÓMICA'!E21</f>
        <v>0</v>
      </c>
      <c r="P23" s="629">
        <f t="shared" si="1"/>
        <v>0</v>
      </c>
      <c r="Q23" s="24"/>
      <c r="R23" s="616"/>
      <c r="S23" s="1122"/>
    </row>
    <row r="24" spans="2:19" ht="30" x14ac:dyDescent="0.25">
      <c r="B24" s="1"/>
      <c r="C24" s="618" t="e">
        <f>'FORMATO PROPUESTA ECONÓMICA'!#REF!</f>
        <v>#REF!</v>
      </c>
      <c r="D24" s="626"/>
      <c r="E24" s="620">
        <f>'FORMATO PROPUESTA ECONÓMICA'!A22</f>
        <v>3.5</v>
      </c>
      <c r="F24" s="633" t="s">
        <v>68</v>
      </c>
      <c r="G24" s="628" t="s">
        <v>15</v>
      </c>
      <c r="H24" s="629"/>
      <c r="I24" s="630"/>
      <c r="J24" s="631"/>
      <c r="K24" s="630"/>
      <c r="L24" s="630"/>
      <c r="M24" s="630"/>
      <c r="N24" s="990">
        <f>N110</f>
        <v>138</v>
      </c>
      <c r="O24" s="629">
        <f>'FORMATO PROPUESTA ECONÓMICA'!E22</f>
        <v>0</v>
      </c>
      <c r="P24" s="629">
        <f t="shared" si="1"/>
        <v>0</v>
      </c>
      <c r="Q24" s="24"/>
      <c r="R24" s="616"/>
      <c r="S24" s="1122"/>
    </row>
    <row r="25" spans="2:19" x14ac:dyDescent="0.25">
      <c r="B25" s="1"/>
      <c r="C25" s="618" t="e">
        <f>'FORMATO PROPUESTA ECONÓMICA'!#REF!</f>
        <v>#REF!</v>
      </c>
      <c r="D25" s="626"/>
      <c r="E25" s="620">
        <f>'FORMATO PROPUESTA ECONÓMICA'!A23</f>
        <v>3.6</v>
      </c>
      <c r="F25" s="633" t="s">
        <v>441</v>
      </c>
      <c r="G25" s="628" t="s">
        <v>15</v>
      </c>
      <c r="H25" s="629"/>
      <c r="I25" s="630"/>
      <c r="J25" s="631"/>
      <c r="K25" s="630"/>
      <c r="L25" s="630"/>
      <c r="M25" s="630"/>
      <c r="N25" s="990">
        <f>(N39)*0.4*0.1</f>
        <v>56.6</v>
      </c>
      <c r="O25" s="629">
        <f>'FORMATO PROPUESTA ECONÓMICA'!E23</f>
        <v>0</v>
      </c>
      <c r="P25" s="629">
        <f t="shared" si="1"/>
        <v>0</v>
      </c>
      <c r="Q25" s="24"/>
      <c r="R25" s="616"/>
      <c r="S25" s="1122"/>
    </row>
    <row r="26" spans="2:19" x14ac:dyDescent="0.25">
      <c r="B26" s="1" t="str">
        <f>+'[3]1. Colector Principal'!C25</f>
        <v>Lleno y apisonado de zanjas y apiques con</v>
      </c>
      <c r="C26" s="708" t="e">
        <f>'FORMATO PROPUESTA ECONÓMICA'!#REF!</f>
        <v>#REF!</v>
      </c>
      <c r="D26" s="37"/>
      <c r="E26" s="721">
        <f>'FORMATO PROPUESTA ECONÓMICA'!A24</f>
        <v>4</v>
      </c>
      <c r="F26" s="43" t="s">
        <v>69</v>
      </c>
      <c r="G26" s="44"/>
      <c r="H26" s="39">
        <f>IF(ISERROR(VLOOKUP($D26,[4]Ppto!$A$3:$F$100,4,)),0,VLOOKUP($D26,[4]Ppto!$A$3:$F$100,4,))</f>
        <v>0</v>
      </c>
      <c r="I26" s="40">
        <f>IF(ISERROR(VLOOKUP($D26,[4]Ppto!$A$3:$F$100,5,)),0,VLOOKUP($D26,[4]Ppto!$A$3:$F$100,5,))</f>
        <v>0</v>
      </c>
      <c r="J26" s="41">
        <v>1</v>
      </c>
      <c r="K26" s="40">
        <f>+I26-O27</f>
        <v>0</v>
      </c>
      <c r="L26" s="40">
        <f t="shared" si="0"/>
        <v>0</v>
      </c>
      <c r="M26" s="40">
        <f>+L26-P26</f>
        <v>0</v>
      </c>
      <c r="N26" s="991"/>
      <c r="O26" s="39"/>
      <c r="P26" s="39"/>
      <c r="Q26" s="24"/>
      <c r="R26" s="616"/>
      <c r="S26" s="1122"/>
    </row>
    <row r="27" spans="2:19" ht="30" x14ac:dyDescent="0.25">
      <c r="B27" s="1" t="str">
        <f>+'[3]1. Colector Principal'!C26</f>
        <v>Material selecto de la excavación</v>
      </c>
      <c r="C27" s="618" t="e">
        <f>'FORMATO PROPUESTA ECONÓMICA'!#REF!</f>
        <v>#REF!</v>
      </c>
      <c r="D27" s="626"/>
      <c r="E27" s="620">
        <f>'FORMATO PROPUESTA ECONÓMICA'!A25</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982">
        <f>+(N24+N23+N22+N21+N25)</f>
        <v>2738.3520000000003</v>
      </c>
      <c r="O27" s="629">
        <f>'FORMATO PROPUESTA ECONÓMICA'!E25</f>
        <v>0</v>
      </c>
      <c r="P27" s="629">
        <f>IF(ISERROR(+N27*O27),"",+N27*O27)</f>
        <v>0</v>
      </c>
      <c r="Q27" s="24"/>
      <c r="R27" s="616"/>
      <c r="S27" s="1122"/>
    </row>
    <row r="28" spans="2:19" ht="30" x14ac:dyDescent="0.25">
      <c r="B28" s="1" t="str">
        <f>+'[3]1. Colector Principal'!C28</f>
        <v>Cargue, retiro y botada de material sobrante</v>
      </c>
      <c r="C28" s="708" t="e">
        <f>'FORMATO PROPUESTA ECONÓMICA'!#REF!</f>
        <v>#REF!</v>
      </c>
      <c r="D28" s="37"/>
      <c r="E28" s="721">
        <f>'FORMATO PROPUESTA ECONÓMICA'!A26</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991"/>
      <c r="O28" s="39"/>
      <c r="P28" s="39"/>
      <c r="Q28" s="24"/>
      <c r="R28" s="616"/>
      <c r="S28" s="1122"/>
    </row>
    <row r="29" spans="2:19" ht="30" x14ac:dyDescent="0.25">
      <c r="B29" s="1" t="str">
        <f>+'[3]1. Colector Principal'!C29</f>
        <v>Retiro y disposición final de material sobrante a cualquier distancia</v>
      </c>
      <c r="C29" s="618" t="e">
        <f>'FORMATO PROPUESTA ECONÓMICA'!#REF!</f>
        <v>#REF!</v>
      </c>
      <c r="D29" s="626"/>
      <c r="E29" s="620">
        <f>'FORMATO PROPUESTA ECONÓMICA'!A27</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982">
        <f>+N11</f>
        <v>559</v>
      </c>
      <c r="O29" s="629">
        <f>'FORMATO PROPUESTA ECONÓMICA'!E27</f>
        <v>0</v>
      </c>
      <c r="P29" s="629">
        <f>IF(ISERROR(+N29*O29),"",+N29*O29)</f>
        <v>0</v>
      </c>
      <c r="Q29" s="24"/>
      <c r="R29" s="616"/>
      <c r="S29" s="1122"/>
    </row>
    <row r="30" spans="2:19" ht="30" x14ac:dyDescent="0.25">
      <c r="B30" s="1"/>
      <c r="C30" s="618" t="e">
        <f>'FORMATO PROPUESTA ECONÓMICA'!#REF!</f>
        <v>#REF!</v>
      </c>
      <c r="D30" s="626"/>
      <c r="E30" s="620">
        <f>'FORMATO PROPUESTA ECONÓMICA'!A28</f>
        <v>5.2</v>
      </c>
      <c r="F30" s="633" t="s">
        <v>74</v>
      </c>
      <c r="G30" s="628" t="s">
        <v>73</v>
      </c>
      <c r="H30" s="629"/>
      <c r="I30" s="630"/>
      <c r="J30" s="631"/>
      <c r="K30" s="630"/>
      <c r="L30" s="630"/>
      <c r="M30" s="630"/>
      <c r="N30" s="982">
        <f>+N12</f>
        <v>279.7</v>
      </c>
      <c r="O30" s="629">
        <f>'FORMATO PROPUESTA ECONÓMICA'!E28</f>
        <v>0</v>
      </c>
      <c r="P30" s="629">
        <f>IF(ISERROR(+N30*O30),"",+N30*O30)</f>
        <v>0</v>
      </c>
      <c r="Q30" s="24"/>
      <c r="R30" s="616"/>
      <c r="S30" s="1122"/>
    </row>
    <row r="31" spans="2:19" ht="45" x14ac:dyDescent="0.25">
      <c r="B31" s="1"/>
      <c r="C31" s="618" t="e">
        <f>'FORMATO PROPUESTA ECONÓMICA'!#REF!</f>
        <v>#REF!</v>
      </c>
      <c r="D31" s="626"/>
      <c r="E31" s="620">
        <f>'FORMATO PROPUESTA ECONÓMICA'!A29</f>
        <v>5.3</v>
      </c>
      <c r="F31" s="633" t="s">
        <v>75</v>
      </c>
      <c r="G31" s="628" t="s">
        <v>7</v>
      </c>
      <c r="H31" s="629"/>
      <c r="I31" s="630"/>
      <c r="J31" s="631"/>
      <c r="K31" s="630"/>
      <c r="L31" s="630"/>
      <c r="M31" s="630"/>
      <c r="N31" s="982">
        <f>+N13</f>
        <v>459</v>
      </c>
      <c r="O31" s="629">
        <f>'FORMATO PROPUESTA ECONÓMICA'!E29</f>
        <v>0</v>
      </c>
      <c r="P31" s="629">
        <f>IF(ISERROR(+N31*O31),"",+N31*O31)</f>
        <v>0</v>
      </c>
      <c r="Q31" s="24"/>
      <c r="R31" s="616"/>
      <c r="S31" s="1122"/>
    </row>
    <row r="32" spans="2:19" ht="45" x14ac:dyDescent="0.25">
      <c r="B32" s="1"/>
      <c r="C32" s="618" t="e">
        <f>'FORMATO PROPUESTA ECONÓMICA'!#REF!</f>
        <v>#REF!</v>
      </c>
      <c r="D32" s="626"/>
      <c r="E32" s="620">
        <f>'FORMATO PROPUESTA ECONÓMICA'!A30</f>
        <v>5.4</v>
      </c>
      <c r="F32" s="633" t="s">
        <v>76</v>
      </c>
      <c r="G32" s="628" t="s">
        <v>7</v>
      </c>
      <c r="H32" s="629"/>
      <c r="I32" s="630"/>
      <c r="J32" s="631"/>
      <c r="K32" s="630"/>
      <c r="L32" s="630"/>
      <c r="M32" s="630"/>
      <c r="N32" s="982">
        <f>+N14</f>
        <v>459</v>
      </c>
      <c r="O32" s="629">
        <f>'FORMATO PROPUESTA ECONÓMICA'!E30</f>
        <v>0</v>
      </c>
      <c r="P32" s="629">
        <f>IF(ISERROR(+N32*O32),"",+N32*O32)</f>
        <v>0</v>
      </c>
      <c r="Q32" s="24"/>
      <c r="R32" s="616"/>
      <c r="S32" s="1122"/>
    </row>
    <row r="33" spans="2:19" x14ac:dyDescent="0.25">
      <c r="B33" s="1"/>
      <c r="C33" s="618" t="e">
        <f>'FORMATO PROPUESTA ECONÓMICA'!#REF!</f>
        <v>#REF!</v>
      </c>
      <c r="D33" s="626"/>
      <c r="E33" s="620">
        <f>'FORMATO PROPUESTA ECONÓMICA'!A31</f>
        <v>5.5</v>
      </c>
      <c r="F33" s="633" t="s">
        <v>77</v>
      </c>
      <c r="G33" s="628" t="s">
        <v>16</v>
      </c>
      <c r="H33" s="629"/>
      <c r="I33" s="630"/>
      <c r="J33" s="631"/>
      <c r="K33" s="630"/>
      <c r="L33" s="630"/>
      <c r="M33" s="630"/>
      <c r="N33" s="982">
        <f>320*1</f>
        <v>320</v>
      </c>
      <c r="O33" s="629">
        <f>'FORMATO PROPUESTA ECONÓMICA'!E31</f>
        <v>0</v>
      </c>
      <c r="P33" s="629">
        <f>IF(ISERROR(+N33*O33),"",+N33*O33)</f>
        <v>0</v>
      </c>
      <c r="Q33" s="24"/>
      <c r="R33" s="616"/>
      <c r="S33" s="1122"/>
    </row>
    <row r="34" spans="2:19" x14ac:dyDescent="0.25">
      <c r="B34" s="1" t="str">
        <f>+'[3]1. Colector Principal'!C30</f>
        <v>Construcción de Cámara de inspección de concreto de 21 MPa vaciadas en el sitio</v>
      </c>
      <c r="C34" s="708" t="e">
        <f>'FORMATO PROPUESTA ECONÓMICA'!#REF!</f>
        <v>#REF!</v>
      </c>
      <c r="D34" s="37"/>
      <c r="E34" s="721">
        <f>'FORMATO PROPUESTA ECONÓMICA'!A32</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991"/>
      <c r="O34" s="39"/>
      <c r="P34" s="39"/>
      <c r="Q34" s="24"/>
      <c r="R34" s="616"/>
      <c r="S34" s="1122"/>
    </row>
    <row r="35" spans="2:19" ht="30" hidden="1" x14ac:dyDescent="0.25">
      <c r="B35" s="1" t="str">
        <f>+'[3]1. Colector Principal'!C31</f>
        <v>Cilindro de la cámara 1.2m, concéntrica vaciada en situ</v>
      </c>
      <c r="C35" s="618" t="e">
        <f>'FORMATO PROPUESTA ECONÓMICA'!#REF!</f>
        <v>#REF!</v>
      </c>
      <c r="D35" s="626"/>
      <c r="E35" s="620">
        <f>'FORMATO PROPUESTA ECONÓMICA'!A33</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992"/>
      <c r="O35" s="629">
        <f>'FORMATO PROPUESTA ECONÓMICA'!E33</f>
        <v>0</v>
      </c>
      <c r="P35" s="629">
        <f t="shared" ref="P35:P63" si="2">IF(ISERROR(+N35*O35),"",+N35*O35)</f>
        <v>0</v>
      </c>
      <c r="Q35" s="24"/>
      <c r="R35" s="616"/>
      <c r="S35" s="1122"/>
    </row>
    <row r="36" spans="2:19" ht="30" x14ac:dyDescent="0.25">
      <c r="B36" s="1" t="str">
        <f>+'[3]1. Colector Principal'!C32</f>
        <v>Cilindro de la cámara 1.5m, concéntrica vaciada en situ</v>
      </c>
      <c r="C36" s="618" t="e">
        <f>'FORMATO PROPUESTA ECONÓMICA'!#REF!</f>
        <v>#REF!</v>
      </c>
      <c r="D36" s="626"/>
      <c r="E36" s="620">
        <f>'FORMATO PROPUESTA ECONÓMICA'!A34</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993">
        <v>2134</v>
      </c>
      <c r="O36" s="629">
        <f>'FORMATO PROPUESTA ECONÓMICA'!E34</f>
        <v>0</v>
      </c>
      <c r="P36" s="629">
        <f t="shared" si="2"/>
        <v>0</v>
      </c>
      <c r="Q36" s="24"/>
      <c r="R36" s="616"/>
      <c r="S36" s="1122"/>
    </row>
    <row r="37" spans="2:19" ht="30" hidden="1" x14ac:dyDescent="0.25">
      <c r="B37" s="1"/>
      <c r="C37" s="618" t="e">
        <f>'FORMATO PROPUESTA ECONÓMICA'!#REF!</f>
        <v>#REF!</v>
      </c>
      <c r="D37" s="626"/>
      <c r="E37" s="620">
        <f>'FORMATO PROPUESTA ECONÓMICA'!A35</f>
        <v>6.3</v>
      </c>
      <c r="F37" s="633" t="s">
        <v>376</v>
      </c>
      <c r="G37" s="628" t="s">
        <v>59</v>
      </c>
      <c r="H37" s="629"/>
      <c r="I37" s="630"/>
      <c r="J37" s="631"/>
      <c r="K37" s="630"/>
      <c r="L37" s="630"/>
      <c r="M37" s="630"/>
      <c r="N37" s="993"/>
      <c r="O37" s="629">
        <f>'FORMATO PROPUESTA ECONÓMICA'!E35</f>
        <v>0</v>
      </c>
      <c r="P37" s="629">
        <f t="shared" si="2"/>
        <v>0</v>
      </c>
      <c r="Q37" s="24"/>
      <c r="R37" s="616"/>
      <c r="S37" s="1122"/>
    </row>
    <row r="38" spans="2:19" ht="30" hidden="1" x14ac:dyDescent="0.25">
      <c r="B38" s="1"/>
      <c r="C38" s="618" t="e">
        <f>'FORMATO PROPUESTA ECONÓMICA'!#REF!</f>
        <v>#REF!</v>
      </c>
      <c r="D38" s="626"/>
      <c r="E38" s="620">
        <f>'FORMATO PROPUESTA ECONÓMICA'!A36</f>
        <v>6.4</v>
      </c>
      <c r="F38" s="633" t="s">
        <v>377</v>
      </c>
      <c r="G38" s="628" t="s">
        <v>59</v>
      </c>
      <c r="H38" s="629"/>
      <c r="I38" s="630"/>
      <c r="J38" s="631"/>
      <c r="K38" s="630"/>
      <c r="L38" s="630"/>
      <c r="M38" s="630"/>
      <c r="N38" s="993"/>
      <c r="O38" s="629">
        <f>'FORMATO PROPUESTA ECONÓMICA'!E36</f>
        <v>0</v>
      </c>
      <c r="P38" s="629">
        <f t="shared" si="2"/>
        <v>0</v>
      </c>
      <c r="Q38" s="24"/>
      <c r="R38" s="616"/>
      <c r="S38" s="1122"/>
    </row>
    <row r="39" spans="2:19" ht="30" x14ac:dyDescent="0.25">
      <c r="B39" s="1" t="str">
        <f>+'[3]1. Colector Principal'!C33</f>
        <v xml:space="preserve"> Base y Cañuela pozo de inspección para tuberías entre 8" a 24" (concreto f´c= 28MPa elab. en obra)</v>
      </c>
      <c r="C39" s="618" t="e">
        <f>'FORMATO PROPUESTA ECONÓMICA'!#REF!</f>
        <v>#REF!</v>
      </c>
      <c r="D39" s="626"/>
      <c r="E39" s="620">
        <f>'FORMATO PROPUESTA ECONÓMICA'!A37</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982">
        <v>1415</v>
      </c>
      <c r="O39" s="629">
        <f>'FORMATO PROPUESTA ECONÓMICA'!E37</f>
        <v>0</v>
      </c>
      <c r="P39" s="629">
        <f t="shared" si="2"/>
        <v>0</v>
      </c>
      <c r="Q39" s="24"/>
      <c r="R39" s="616"/>
      <c r="S39" s="1122"/>
    </row>
    <row r="40" spans="2:19" hidden="1" x14ac:dyDescent="0.25">
      <c r="B40" s="1"/>
      <c r="C40" s="618" t="e">
        <f>'FORMATO PROPUESTA ECONÓMICA'!#REF!</f>
        <v>#REF!</v>
      </c>
      <c r="D40" s="626"/>
      <c r="E40" s="620">
        <f>'FORMATO PROPUESTA ECONÓMICA'!A38</f>
        <v>6.6</v>
      </c>
      <c r="F40" s="633" t="s">
        <v>382</v>
      </c>
      <c r="G40" s="628" t="s">
        <v>79</v>
      </c>
      <c r="H40" s="629"/>
      <c r="I40" s="630"/>
      <c r="J40" s="631"/>
      <c r="K40" s="630"/>
      <c r="L40" s="630"/>
      <c r="M40" s="630"/>
      <c r="N40" s="982"/>
      <c r="O40" s="629">
        <f>'FORMATO PROPUESTA ECONÓMICA'!E38</f>
        <v>0</v>
      </c>
      <c r="P40" s="629">
        <f t="shared" si="2"/>
        <v>0</v>
      </c>
      <c r="Q40" s="24"/>
      <c r="R40" s="616"/>
      <c r="S40" s="1122"/>
    </row>
    <row r="41" spans="2:19" x14ac:dyDescent="0.25">
      <c r="B41" s="1"/>
      <c r="C41" s="618" t="e">
        <f>'FORMATO PROPUESTA ECONÓMICA'!#REF!</f>
        <v>#REF!</v>
      </c>
      <c r="D41" s="626"/>
      <c r="E41" s="620">
        <f>'FORMATO PROPUESTA ECONÓMICA'!A39</f>
        <v>6.7</v>
      </c>
      <c r="F41" s="633" t="s">
        <v>381</v>
      </c>
      <c r="G41" s="628" t="s">
        <v>79</v>
      </c>
      <c r="H41" s="629"/>
      <c r="I41" s="630"/>
      <c r="J41" s="631"/>
      <c r="K41" s="630"/>
      <c r="L41" s="630"/>
      <c r="M41" s="630"/>
      <c r="N41" s="982">
        <v>64</v>
      </c>
      <c r="O41" s="629">
        <f>'FORMATO PROPUESTA ECONÓMICA'!E39</f>
        <v>0</v>
      </c>
      <c r="P41" s="629">
        <f t="shared" si="2"/>
        <v>0</v>
      </c>
      <c r="Q41" s="24"/>
      <c r="R41" s="616"/>
      <c r="S41" s="1122"/>
    </row>
    <row r="42" spans="2:19" hidden="1" x14ac:dyDescent="0.25">
      <c r="B42" s="1"/>
      <c r="C42" s="618" t="e">
        <f>'FORMATO PROPUESTA ECONÓMICA'!#REF!</f>
        <v>#REF!</v>
      </c>
      <c r="D42" s="626"/>
      <c r="E42" s="620">
        <f>'FORMATO PROPUESTA ECONÓMICA'!A40</f>
        <v>6.8</v>
      </c>
      <c r="F42" s="633" t="s">
        <v>383</v>
      </c>
      <c r="G42" s="628" t="s">
        <v>79</v>
      </c>
      <c r="H42" s="629"/>
      <c r="I42" s="630"/>
      <c r="J42" s="631"/>
      <c r="K42" s="630"/>
      <c r="L42" s="630"/>
      <c r="M42" s="630"/>
      <c r="N42" s="982"/>
      <c r="O42" s="629">
        <f>'FORMATO PROPUESTA ECONÓMICA'!E40</f>
        <v>0</v>
      </c>
      <c r="P42" s="629">
        <f t="shared" si="2"/>
        <v>0</v>
      </c>
      <c r="Q42" s="24"/>
      <c r="R42" s="616"/>
      <c r="S42" s="1122"/>
    </row>
    <row r="43" spans="2:19" hidden="1" x14ac:dyDescent="0.25">
      <c r="B43" s="1"/>
      <c r="C43" s="618" t="e">
        <f>'FORMATO PROPUESTA ECONÓMICA'!#REF!</f>
        <v>#REF!</v>
      </c>
      <c r="D43" s="626"/>
      <c r="E43" s="620">
        <f>'FORMATO PROPUESTA ECONÓMICA'!A41</f>
        <v>6.9</v>
      </c>
      <c r="F43" s="633" t="s">
        <v>384</v>
      </c>
      <c r="G43" s="628" t="s">
        <v>79</v>
      </c>
      <c r="H43" s="629"/>
      <c r="I43" s="630"/>
      <c r="J43" s="631"/>
      <c r="K43" s="630"/>
      <c r="L43" s="630"/>
      <c r="M43" s="630"/>
      <c r="N43" s="982"/>
      <c r="O43" s="629">
        <f>'FORMATO PROPUESTA ECONÓMICA'!E41</f>
        <v>0</v>
      </c>
      <c r="P43" s="629">
        <f t="shared" si="2"/>
        <v>0</v>
      </c>
      <c r="Q43" s="24"/>
      <c r="R43" s="616"/>
      <c r="S43" s="1122"/>
    </row>
    <row r="44" spans="2:19" x14ac:dyDescent="0.25">
      <c r="B44" s="1"/>
      <c r="C44" s="618" t="e">
        <f>'FORMATO PROPUESTA ECONÓMICA'!#REF!</f>
        <v>#REF!</v>
      </c>
      <c r="D44" s="626"/>
      <c r="E44" s="620">
        <f>'FORMATO PROPUESTA ECONÓMICA'!A42</f>
        <v>6.1</v>
      </c>
      <c r="F44" s="633" t="s">
        <v>385</v>
      </c>
      <c r="G44" s="628" t="s">
        <v>79</v>
      </c>
      <c r="H44" s="629"/>
      <c r="I44" s="630"/>
      <c r="J44" s="631"/>
      <c r="K44" s="630"/>
      <c r="L44" s="630"/>
      <c r="M44" s="630"/>
      <c r="N44" s="982">
        <v>5</v>
      </c>
      <c r="O44" s="629">
        <f>'FORMATO PROPUESTA ECONÓMICA'!E42</f>
        <v>0</v>
      </c>
      <c r="P44" s="629">
        <f t="shared" si="2"/>
        <v>0</v>
      </c>
      <c r="Q44" s="24"/>
      <c r="R44" s="616"/>
      <c r="S44" s="1122"/>
    </row>
    <row r="45" spans="2:19" hidden="1" x14ac:dyDescent="0.25">
      <c r="B45" s="1"/>
      <c r="C45" s="618" t="e">
        <f>'FORMATO PROPUESTA ECONÓMICA'!#REF!</f>
        <v>#REF!</v>
      </c>
      <c r="D45" s="626"/>
      <c r="E45" s="620">
        <f>'FORMATO PROPUESTA ECONÓMICA'!A43</f>
        <v>6.11</v>
      </c>
      <c r="F45" s="633" t="s">
        <v>386</v>
      </c>
      <c r="G45" s="628" t="s">
        <v>79</v>
      </c>
      <c r="H45" s="629"/>
      <c r="I45" s="630"/>
      <c r="J45" s="631"/>
      <c r="K45" s="630"/>
      <c r="L45" s="630"/>
      <c r="M45" s="630"/>
      <c r="N45" s="982"/>
      <c r="O45" s="629">
        <f>'FORMATO PROPUESTA ECONÓMICA'!E43</f>
        <v>0</v>
      </c>
      <c r="P45" s="629">
        <f t="shared" si="2"/>
        <v>0</v>
      </c>
      <c r="Q45" s="24"/>
      <c r="R45" s="616"/>
      <c r="S45" s="1122"/>
    </row>
    <row r="46" spans="2:19" hidden="1" x14ac:dyDescent="0.25">
      <c r="B46" s="1"/>
      <c r="C46" s="618" t="e">
        <f>'FORMATO PROPUESTA ECONÓMICA'!#REF!</f>
        <v>#REF!</v>
      </c>
      <c r="D46" s="626"/>
      <c r="E46" s="620">
        <f>'FORMATO PROPUESTA ECONÓMICA'!A44</f>
        <v>6.12</v>
      </c>
      <c r="F46" s="633" t="s">
        <v>445</v>
      </c>
      <c r="G46" s="628" t="s">
        <v>79</v>
      </c>
      <c r="H46" s="629"/>
      <c r="I46" s="630"/>
      <c r="J46" s="631"/>
      <c r="K46" s="630"/>
      <c r="L46" s="630"/>
      <c r="M46" s="630"/>
      <c r="N46" s="993"/>
      <c r="O46" s="629">
        <f>'FORMATO PROPUESTA ECONÓMICA'!E44</f>
        <v>0</v>
      </c>
      <c r="P46" s="629">
        <f t="shared" si="2"/>
        <v>0</v>
      </c>
      <c r="Q46" s="24"/>
      <c r="R46" s="616"/>
      <c r="S46" s="1122"/>
    </row>
    <row r="47" spans="2:19" hidden="1" x14ac:dyDescent="0.25">
      <c r="B47" s="1"/>
      <c r="C47" s="618" t="e">
        <f>'FORMATO PROPUESTA ECONÓMICA'!#REF!</f>
        <v>#REF!</v>
      </c>
      <c r="D47" s="626"/>
      <c r="E47" s="620">
        <f>'FORMATO PROPUESTA ECONÓMICA'!A45</f>
        <v>6.13</v>
      </c>
      <c r="F47" s="633" t="s">
        <v>387</v>
      </c>
      <c r="G47" s="628" t="s">
        <v>79</v>
      </c>
      <c r="H47" s="629"/>
      <c r="I47" s="630"/>
      <c r="J47" s="631"/>
      <c r="K47" s="630"/>
      <c r="L47" s="630"/>
      <c r="M47" s="630"/>
      <c r="N47" s="982"/>
      <c r="O47" s="629">
        <f>'FORMATO PROPUESTA ECONÓMICA'!E45</f>
        <v>0</v>
      </c>
      <c r="P47" s="629">
        <f t="shared" si="2"/>
        <v>0</v>
      </c>
      <c r="Q47" s="24"/>
      <c r="R47" s="616"/>
      <c r="S47" s="1122"/>
    </row>
    <row r="48" spans="2:19" hidden="1" x14ac:dyDescent="0.25">
      <c r="B48" s="1"/>
      <c r="C48" s="618" t="e">
        <f>'FORMATO PROPUESTA ECONÓMICA'!#REF!</f>
        <v>#REF!</v>
      </c>
      <c r="D48" s="626"/>
      <c r="E48" s="620">
        <f>'FORMATO PROPUESTA ECONÓMICA'!A46</f>
        <v>6.14</v>
      </c>
      <c r="F48" s="633" t="s">
        <v>388</v>
      </c>
      <c r="G48" s="628" t="s">
        <v>79</v>
      </c>
      <c r="H48" s="629"/>
      <c r="I48" s="630"/>
      <c r="J48" s="631"/>
      <c r="K48" s="630"/>
      <c r="L48" s="630"/>
      <c r="M48" s="630"/>
      <c r="N48" s="982"/>
      <c r="O48" s="629">
        <f>'FORMATO PROPUESTA ECONÓMICA'!E46</f>
        <v>0</v>
      </c>
      <c r="P48" s="629">
        <f t="shared" si="2"/>
        <v>0</v>
      </c>
      <c r="Q48" s="24"/>
      <c r="R48" s="616"/>
      <c r="S48" s="1122"/>
    </row>
    <row r="49" spans="2:19" hidden="1" x14ac:dyDescent="0.25">
      <c r="B49" s="1"/>
      <c r="C49" s="618" t="e">
        <f>'FORMATO PROPUESTA ECONÓMICA'!#REF!</f>
        <v>#REF!</v>
      </c>
      <c r="D49" s="626"/>
      <c r="E49" s="620">
        <f>'FORMATO PROPUESTA ECONÓMICA'!A47</f>
        <v>6.15</v>
      </c>
      <c r="F49" s="633" t="s">
        <v>389</v>
      </c>
      <c r="G49" s="628" t="s">
        <v>79</v>
      </c>
      <c r="H49" s="629"/>
      <c r="I49" s="630"/>
      <c r="J49" s="631"/>
      <c r="K49" s="630"/>
      <c r="L49" s="630"/>
      <c r="M49" s="630"/>
      <c r="N49" s="982"/>
      <c r="O49" s="629">
        <f>'FORMATO PROPUESTA ECONÓMICA'!E47</f>
        <v>0</v>
      </c>
      <c r="P49" s="629">
        <f t="shared" si="2"/>
        <v>0</v>
      </c>
      <c r="Q49" s="24"/>
      <c r="R49" s="616"/>
      <c r="S49" s="1122"/>
    </row>
    <row r="50" spans="2:19" hidden="1" x14ac:dyDescent="0.25">
      <c r="B50" s="1"/>
      <c r="C50" s="618" t="e">
        <f>'FORMATO PROPUESTA ECONÓMICA'!#REF!</f>
        <v>#REF!</v>
      </c>
      <c r="D50" s="626"/>
      <c r="E50" s="620">
        <f>'FORMATO PROPUESTA ECONÓMICA'!A48</f>
        <v>6.16</v>
      </c>
      <c r="F50" s="633" t="s">
        <v>390</v>
      </c>
      <c r="G50" s="628" t="s">
        <v>79</v>
      </c>
      <c r="H50" s="629"/>
      <c r="I50" s="630"/>
      <c r="J50" s="631"/>
      <c r="K50" s="630"/>
      <c r="L50" s="630"/>
      <c r="M50" s="630"/>
      <c r="N50" s="982"/>
      <c r="O50" s="629">
        <f>'FORMATO PROPUESTA ECONÓMICA'!E48</f>
        <v>0</v>
      </c>
      <c r="P50" s="629">
        <f t="shared" si="2"/>
        <v>0</v>
      </c>
      <c r="Q50" s="24"/>
      <c r="R50" s="616"/>
      <c r="S50" s="1122"/>
    </row>
    <row r="51" spans="2:19" hidden="1" x14ac:dyDescent="0.25">
      <c r="B51" s="1"/>
      <c r="C51" s="618" t="e">
        <f>'FORMATO PROPUESTA ECONÓMICA'!#REF!</f>
        <v>#REF!</v>
      </c>
      <c r="D51" s="626"/>
      <c r="E51" s="620">
        <f>'FORMATO PROPUESTA ECONÓMICA'!A49</f>
        <v>6.17</v>
      </c>
      <c r="F51" s="633" t="s">
        <v>391</v>
      </c>
      <c r="G51" s="628" t="s">
        <v>79</v>
      </c>
      <c r="H51" s="629"/>
      <c r="I51" s="630"/>
      <c r="J51" s="631"/>
      <c r="K51" s="630"/>
      <c r="L51" s="630"/>
      <c r="M51" s="630"/>
      <c r="N51" s="982"/>
      <c r="O51" s="629">
        <f>'FORMATO PROPUESTA ECONÓMICA'!E49</f>
        <v>0</v>
      </c>
      <c r="P51" s="629">
        <f t="shared" si="2"/>
        <v>0</v>
      </c>
      <c r="Q51" s="24"/>
      <c r="R51" s="616"/>
      <c r="S51" s="1122"/>
    </row>
    <row r="52" spans="2:19" x14ac:dyDescent="0.25">
      <c r="B52" s="1"/>
      <c r="C52" s="618" t="e">
        <f>'FORMATO PROPUESTA ECONÓMICA'!#REF!</f>
        <v>#REF!</v>
      </c>
      <c r="D52" s="626"/>
      <c r="E52" s="620">
        <f>'FORMATO PROPUESTA ECONÓMICA'!A50</f>
        <v>6.18</v>
      </c>
      <c r="F52" s="633" t="s">
        <v>392</v>
      </c>
      <c r="G52" s="628" t="s">
        <v>79</v>
      </c>
      <c r="H52" s="629"/>
      <c r="I52" s="630"/>
      <c r="J52" s="631"/>
      <c r="K52" s="630"/>
      <c r="L52" s="630"/>
      <c r="M52" s="630"/>
      <c r="N52" s="982">
        <v>10</v>
      </c>
      <c r="O52" s="629">
        <f>'FORMATO PROPUESTA ECONÓMICA'!E50</f>
        <v>0</v>
      </c>
      <c r="P52" s="629">
        <f t="shared" si="2"/>
        <v>0</v>
      </c>
      <c r="Q52" s="24"/>
      <c r="R52" s="616"/>
      <c r="S52" s="1122"/>
    </row>
    <row r="53" spans="2:19" hidden="1" x14ac:dyDescent="0.25">
      <c r="B53" s="1"/>
      <c r="C53" s="618" t="e">
        <f>'FORMATO PROPUESTA ECONÓMICA'!#REF!</f>
        <v>#REF!</v>
      </c>
      <c r="D53" s="626"/>
      <c r="E53" s="620">
        <f>'FORMATO PROPUESTA ECONÓMICA'!A51</f>
        <v>6.19</v>
      </c>
      <c r="F53" s="633" t="s">
        <v>393</v>
      </c>
      <c r="G53" s="628" t="s">
        <v>79</v>
      </c>
      <c r="H53" s="629"/>
      <c r="I53" s="630"/>
      <c r="J53" s="631"/>
      <c r="K53" s="630"/>
      <c r="L53" s="630"/>
      <c r="M53" s="630"/>
      <c r="N53" s="982"/>
      <c r="O53" s="629">
        <f>'FORMATO PROPUESTA ECONÓMICA'!E51</f>
        <v>0</v>
      </c>
      <c r="P53" s="629">
        <f t="shared" si="2"/>
        <v>0</v>
      </c>
      <c r="Q53" s="24"/>
      <c r="R53" s="616"/>
      <c r="S53" s="1122"/>
    </row>
    <row r="54" spans="2:19" hidden="1" x14ac:dyDescent="0.25">
      <c r="B54" s="1"/>
      <c r="C54" s="618" t="e">
        <f>'FORMATO PROPUESTA ECONÓMICA'!#REF!</f>
        <v>#REF!</v>
      </c>
      <c r="D54" s="626"/>
      <c r="E54" s="620">
        <f>'FORMATO PROPUESTA ECONÓMICA'!A52</f>
        <v>6.2</v>
      </c>
      <c r="F54" s="633" t="s">
        <v>394</v>
      </c>
      <c r="G54" s="628" t="s">
        <v>79</v>
      </c>
      <c r="H54" s="629"/>
      <c r="I54" s="630"/>
      <c r="J54" s="631"/>
      <c r="K54" s="630"/>
      <c r="L54" s="630"/>
      <c r="M54" s="630"/>
      <c r="N54" s="982"/>
      <c r="O54" s="629">
        <f>'FORMATO PROPUESTA ECONÓMICA'!E52</f>
        <v>0</v>
      </c>
      <c r="P54" s="629">
        <f t="shared" si="2"/>
        <v>0</v>
      </c>
      <c r="Q54" s="24"/>
      <c r="R54" s="616"/>
      <c r="S54" s="1122"/>
    </row>
    <row r="55" spans="2:19" x14ac:dyDescent="0.25">
      <c r="B55" s="1"/>
      <c r="C55" s="618" t="e">
        <f>'FORMATO PROPUESTA ECONÓMICA'!#REF!</f>
        <v>#REF!</v>
      </c>
      <c r="D55" s="626"/>
      <c r="E55" s="620">
        <f>'FORMATO PROPUESTA ECONÓMICA'!A53</f>
        <v>6.21</v>
      </c>
      <c r="F55" s="633" t="s">
        <v>395</v>
      </c>
      <c r="G55" s="628" t="s">
        <v>79</v>
      </c>
      <c r="H55" s="629"/>
      <c r="I55" s="630"/>
      <c r="J55" s="631"/>
      <c r="K55" s="630"/>
      <c r="L55" s="630"/>
      <c r="M55" s="630"/>
      <c r="N55" s="982">
        <v>2</v>
      </c>
      <c r="O55" s="629">
        <f>'FORMATO PROPUESTA ECONÓMICA'!E53</f>
        <v>0</v>
      </c>
      <c r="P55" s="629">
        <f t="shared" si="2"/>
        <v>0</v>
      </c>
      <c r="Q55" s="24"/>
      <c r="R55" s="616"/>
      <c r="S55" s="1122"/>
    </row>
    <row r="56" spans="2:19" hidden="1" x14ac:dyDescent="0.25">
      <c r="B56" s="1"/>
      <c r="C56" s="618" t="e">
        <f>'FORMATO PROPUESTA ECONÓMICA'!#REF!</f>
        <v>#REF!</v>
      </c>
      <c r="D56" s="626"/>
      <c r="E56" s="620">
        <f>'FORMATO PROPUESTA ECONÓMICA'!A54</f>
        <v>6.22</v>
      </c>
      <c r="F56" s="633" t="s">
        <v>396</v>
      </c>
      <c r="G56" s="628" t="s">
        <v>79</v>
      </c>
      <c r="H56" s="629"/>
      <c r="I56" s="630"/>
      <c r="J56" s="631"/>
      <c r="K56" s="630"/>
      <c r="L56" s="630"/>
      <c r="M56" s="630"/>
      <c r="N56" s="982"/>
      <c r="O56" s="629">
        <f>'FORMATO PROPUESTA ECONÓMICA'!E54</f>
        <v>0</v>
      </c>
      <c r="P56" s="629">
        <f t="shared" si="2"/>
        <v>0</v>
      </c>
      <c r="Q56" s="24"/>
      <c r="R56" s="616"/>
      <c r="S56" s="1122"/>
    </row>
    <row r="57" spans="2:19" hidden="1" x14ac:dyDescent="0.25">
      <c r="B57" s="1"/>
      <c r="C57" s="618" t="e">
        <f>'FORMATO PROPUESTA ECONÓMICA'!#REF!</f>
        <v>#REF!</v>
      </c>
      <c r="D57" s="626"/>
      <c r="E57" s="620">
        <f>'FORMATO PROPUESTA ECONÓMICA'!A55</f>
        <v>6.23</v>
      </c>
      <c r="F57" s="633" t="s">
        <v>397</v>
      </c>
      <c r="G57" s="628" t="s">
        <v>79</v>
      </c>
      <c r="H57" s="629"/>
      <c r="I57" s="630"/>
      <c r="J57" s="631"/>
      <c r="K57" s="630"/>
      <c r="L57" s="630"/>
      <c r="M57" s="630"/>
      <c r="N57" s="982"/>
      <c r="O57" s="629">
        <f>'FORMATO PROPUESTA ECONÓMICA'!E55</f>
        <v>0</v>
      </c>
      <c r="P57" s="629">
        <f t="shared" si="2"/>
        <v>0</v>
      </c>
      <c r="Q57" s="24"/>
      <c r="R57" s="616"/>
      <c r="S57" s="1122"/>
    </row>
    <row r="58" spans="2:19" x14ac:dyDescent="0.25">
      <c r="B58" s="1"/>
      <c r="C58" s="618" t="e">
        <f>'FORMATO PROPUESTA ECONÓMICA'!#REF!</f>
        <v>#REF!</v>
      </c>
      <c r="D58" s="626"/>
      <c r="E58" s="620">
        <f>'FORMATO PROPUESTA ECONÓMICA'!A56</f>
        <v>6.24</v>
      </c>
      <c r="F58" s="633" t="s">
        <v>398</v>
      </c>
      <c r="G58" s="628" t="s">
        <v>79</v>
      </c>
      <c r="H58" s="629"/>
      <c r="I58" s="630"/>
      <c r="J58" s="631"/>
      <c r="K58" s="630"/>
      <c r="L58" s="630"/>
      <c r="M58" s="630"/>
      <c r="N58" s="982">
        <v>14</v>
      </c>
      <c r="O58" s="629">
        <f>'FORMATO PROPUESTA ECONÓMICA'!E56</f>
        <v>0</v>
      </c>
      <c r="P58" s="629">
        <f t="shared" si="2"/>
        <v>0</v>
      </c>
      <c r="Q58" s="24"/>
      <c r="R58" s="616"/>
      <c r="S58" s="1122"/>
    </row>
    <row r="59" spans="2:19" hidden="1" x14ac:dyDescent="0.25">
      <c r="B59" s="1"/>
      <c r="C59" s="618" t="e">
        <f>'FORMATO PROPUESTA ECONÓMICA'!#REF!</f>
        <v>#REF!</v>
      </c>
      <c r="D59" s="626"/>
      <c r="E59" s="620">
        <f>'FORMATO PROPUESTA ECONÓMICA'!A57</f>
        <v>6.25</v>
      </c>
      <c r="F59" s="633" t="s">
        <v>399</v>
      </c>
      <c r="G59" s="628" t="s">
        <v>79</v>
      </c>
      <c r="H59" s="629"/>
      <c r="I59" s="630"/>
      <c r="J59" s="631"/>
      <c r="K59" s="630"/>
      <c r="L59" s="630"/>
      <c r="M59" s="630"/>
      <c r="N59" s="982"/>
      <c r="O59" s="629">
        <f>'FORMATO PROPUESTA ECONÓMICA'!E57</f>
        <v>0</v>
      </c>
      <c r="P59" s="629">
        <f t="shared" si="2"/>
        <v>0</v>
      </c>
      <c r="Q59" s="24"/>
      <c r="R59" s="616"/>
      <c r="S59" s="1122"/>
    </row>
    <row r="60" spans="2:19" hidden="1" x14ac:dyDescent="0.25">
      <c r="B60" s="1"/>
      <c r="C60" s="618" t="e">
        <f>'FORMATO PROPUESTA ECONÓMICA'!#REF!</f>
        <v>#REF!</v>
      </c>
      <c r="D60" s="626"/>
      <c r="E60" s="620">
        <f>'FORMATO PROPUESTA ECONÓMICA'!A58</f>
        <v>6.26</v>
      </c>
      <c r="F60" s="633" t="s">
        <v>400</v>
      </c>
      <c r="G60" s="628" t="s">
        <v>79</v>
      </c>
      <c r="H60" s="629"/>
      <c r="I60" s="630"/>
      <c r="J60" s="631"/>
      <c r="K60" s="630"/>
      <c r="L60" s="630"/>
      <c r="M60" s="630"/>
      <c r="N60" s="982"/>
      <c r="O60" s="629">
        <f>'FORMATO PROPUESTA ECONÓMICA'!E58</f>
        <v>0</v>
      </c>
      <c r="P60" s="629">
        <f t="shared" si="2"/>
        <v>0</v>
      </c>
      <c r="Q60" s="24"/>
      <c r="R60" s="616"/>
      <c r="S60" s="1122"/>
    </row>
    <row r="61" spans="2:19" x14ac:dyDescent="0.25">
      <c r="B61" s="1"/>
      <c r="C61" s="618" t="e">
        <f>'FORMATO PROPUESTA ECONÓMICA'!#REF!</f>
        <v>#REF!</v>
      </c>
      <c r="D61" s="626"/>
      <c r="E61" s="620">
        <f>'FORMATO PROPUESTA ECONÓMICA'!A59</f>
        <v>6.27</v>
      </c>
      <c r="F61" s="633" t="s">
        <v>401</v>
      </c>
      <c r="G61" s="628" t="s">
        <v>79</v>
      </c>
      <c r="H61" s="629"/>
      <c r="I61" s="630"/>
      <c r="J61" s="631"/>
      <c r="K61" s="630"/>
      <c r="L61" s="630"/>
      <c r="M61" s="630"/>
      <c r="N61" s="982">
        <f>2*N95</f>
        <v>8</v>
      </c>
      <c r="O61" s="629">
        <f>'FORMATO PROPUESTA ECONÓMICA'!E59</f>
        <v>0</v>
      </c>
      <c r="P61" s="629">
        <f t="shared" si="2"/>
        <v>0</v>
      </c>
      <c r="Q61" s="24"/>
      <c r="R61" s="616"/>
      <c r="S61" s="1122"/>
    </row>
    <row r="62" spans="2:19" ht="30" x14ac:dyDescent="0.25">
      <c r="B62" s="1"/>
      <c r="C62" s="618" t="e">
        <f>'FORMATO PROPUESTA ECONÓMICA'!#REF!</f>
        <v>#REF!</v>
      </c>
      <c r="D62" s="626"/>
      <c r="E62" s="620">
        <f>'FORMATO PROPUESTA ECONÓMICA'!A60</f>
        <v>6.28</v>
      </c>
      <c r="F62" s="633" t="s">
        <v>80</v>
      </c>
      <c r="G62" s="628" t="s">
        <v>79</v>
      </c>
      <c r="H62" s="629"/>
      <c r="I62" s="630"/>
      <c r="J62" s="631"/>
      <c r="K62" s="630"/>
      <c r="L62" s="630"/>
      <c r="M62" s="630"/>
      <c r="N62" s="990">
        <v>2</v>
      </c>
      <c r="O62" s="629">
        <f>'FORMATO PROPUESTA ECONÓMICA'!E60</f>
        <v>0</v>
      </c>
      <c r="P62" s="629">
        <f t="shared" si="2"/>
        <v>0</v>
      </c>
      <c r="Q62" s="24"/>
      <c r="R62" s="616"/>
      <c r="S62" s="1122"/>
    </row>
    <row r="63" spans="2:19" ht="30" hidden="1" x14ac:dyDescent="0.25">
      <c r="B63" s="1"/>
      <c r="C63" s="618" t="e">
        <f>'FORMATO PROPUESTA ECONÓMICA'!#REF!</f>
        <v>#REF!</v>
      </c>
      <c r="D63" s="626"/>
      <c r="E63" s="620">
        <f>'FORMATO PROPUESTA ECONÓMICA'!A61</f>
        <v>6.29</v>
      </c>
      <c r="F63" s="633" t="s">
        <v>81</v>
      </c>
      <c r="G63" s="628" t="s">
        <v>79</v>
      </c>
      <c r="H63" s="629"/>
      <c r="I63" s="630"/>
      <c r="J63" s="631"/>
      <c r="K63" s="630"/>
      <c r="L63" s="630"/>
      <c r="M63" s="630"/>
      <c r="N63" s="990"/>
      <c r="O63" s="629">
        <f>'FORMATO PROPUESTA ECONÓMICA'!E61</f>
        <v>0</v>
      </c>
      <c r="P63" s="629">
        <f t="shared" si="2"/>
        <v>0</v>
      </c>
      <c r="Q63" s="24"/>
      <c r="R63" s="616"/>
      <c r="S63" s="1122"/>
    </row>
    <row r="64" spans="2:19" ht="30" x14ac:dyDescent="0.25">
      <c r="B64" s="1" t="str">
        <f>+'[3]1. Colector Principal'!C40</f>
        <v>Suministro, transporte y colocación de entresuelo para cimentaciones y apoyo de tubería:</v>
      </c>
      <c r="C64" s="708" t="e">
        <f>'FORMATO PROPUESTA ECONÓMICA'!#REF!</f>
        <v>#REF!</v>
      </c>
      <c r="D64" s="37"/>
      <c r="E64" s="721">
        <f>'FORMATO PROPUESTA ECONÓMICA'!A62</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912"/>
      <c r="O64" s="39"/>
      <c r="P64" s="39"/>
      <c r="Q64" s="24"/>
      <c r="R64" s="616"/>
      <c r="S64" s="1122"/>
    </row>
    <row r="65" spans="2:19" ht="30" x14ac:dyDescent="0.25">
      <c r="B65" s="1" t="str">
        <f>+'[3]1. Colector Principal'!C41</f>
        <v>S.T.I Lleno con triturado 3/4" (19mm) y 1" (25mm)</v>
      </c>
      <c r="C65" s="618" t="e">
        <f>'FORMATO PROPUESTA ECONÓMICA'!#REF!</f>
        <v>#REF!</v>
      </c>
      <c r="D65" s="626"/>
      <c r="E65" s="620">
        <f>'FORMATO PROPUESTA ECONÓMICA'!A63</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990">
        <v>4080</v>
      </c>
      <c r="O65" s="629">
        <f>'FORMATO PROPUESTA ECONÓMICA'!E63</f>
        <v>0</v>
      </c>
      <c r="P65" s="629">
        <f t="shared" ref="P65:P79" si="3">IF(ISERROR(+N65*O65),"",+N65*O65)</f>
        <v>0</v>
      </c>
      <c r="Q65" s="24"/>
      <c r="R65" s="616"/>
      <c r="S65" s="1122"/>
    </row>
    <row r="66" spans="2:19" ht="30" hidden="1" x14ac:dyDescent="0.25">
      <c r="B66" s="1" t="str">
        <f>+'[3]1. Colector Principal'!C42</f>
        <v>S.T.I Lleno con arenilla 3/4" (19mm) y 1" (25mm)</v>
      </c>
      <c r="C66" s="618" t="e">
        <f>'FORMATO PROPUESTA ECONÓMICA'!#REF!</f>
        <v>#REF!</v>
      </c>
      <c r="D66" s="626"/>
      <c r="E66" s="620">
        <f>'FORMATO PROPUESTA ECONÓMICA'!A64</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990"/>
      <c r="O66" s="629">
        <f>'FORMATO PROPUESTA ECONÓMICA'!E64</f>
        <v>0</v>
      </c>
      <c r="P66" s="629">
        <f t="shared" si="3"/>
        <v>0</v>
      </c>
      <c r="Q66" s="24"/>
      <c r="R66" s="616"/>
      <c r="S66" s="1122"/>
    </row>
    <row r="67" spans="2:19" hidden="1" x14ac:dyDescent="0.25">
      <c r="B67" s="1"/>
      <c r="C67" s="618" t="e">
        <f>'FORMATO PROPUESTA ECONÓMICA'!#REF!</f>
        <v>#REF!</v>
      </c>
      <c r="D67" s="626"/>
      <c r="E67" s="620">
        <f>'FORMATO PROPUESTA ECONÓMICA'!A65</f>
        <v>7.3</v>
      </c>
      <c r="F67" s="633" t="s">
        <v>424</v>
      </c>
      <c r="G67" s="628" t="s">
        <v>79</v>
      </c>
      <c r="H67" s="629"/>
      <c r="I67" s="630"/>
      <c r="J67" s="631"/>
      <c r="K67" s="630"/>
      <c r="L67" s="630"/>
      <c r="M67" s="630"/>
      <c r="N67" s="990"/>
      <c r="O67" s="629">
        <f>'FORMATO PROPUESTA ECONÓMICA'!E65</f>
        <v>0</v>
      </c>
      <c r="P67" s="629">
        <f t="shared" si="3"/>
        <v>0</v>
      </c>
      <c r="Q67" s="24"/>
      <c r="R67" s="616"/>
      <c r="S67" s="1122"/>
    </row>
    <row r="68" spans="2:19" hidden="1" x14ac:dyDescent="0.25">
      <c r="B68" s="1"/>
      <c r="C68" s="618" t="e">
        <f>'FORMATO PROPUESTA ECONÓMICA'!#REF!</f>
        <v>#REF!</v>
      </c>
      <c r="D68" s="626"/>
      <c r="E68" s="620">
        <f>'FORMATO PROPUESTA ECONÓMICA'!A66</f>
        <v>7.4</v>
      </c>
      <c r="F68" s="633" t="s">
        <v>426</v>
      </c>
      <c r="G68" s="628" t="s">
        <v>79</v>
      </c>
      <c r="H68" s="629"/>
      <c r="I68" s="630"/>
      <c r="J68" s="631"/>
      <c r="K68" s="630"/>
      <c r="L68" s="630"/>
      <c r="M68" s="630"/>
      <c r="N68" s="994"/>
      <c r="O68" s="629">
        <f>'FORMATO PROPUESTA ECONÓMICA'!E66</f>
        <v>0</v>
      </c>
      <c r="P68" s="629">
        <f t="shared" si="3"/>
        <v>0</v>
      </c>
      <c r="Q68" s="24"/>
      <c r="R68" s="616"/>
      <c r="S68" s="1122"/>
    </row>
    <row r="69" spans="2:19" x14ac:dyDescent="0.25">
      <c r="B69" s="1"/>
      <c r="C69" s="618" t="e">
        <f>'FORMATO PROPUESTA ECONÓMICA'!#REF!</f>
        <v>#REF!</v>
      </c>
      <c r="D69" s="626"/>
      <c r="E69" s="620">
        <f>'FORMATO PROPUESTA ECONÓMICA'!A67</f>
        <v>7.5</v>
      </c>
      <c r="F69" s="633" t="s">
        <v>425</v>
      </c>
      <c r="G69" s="628" t="s">
        <v>79</v>
      </c>
      <c r="H69" s="629"/>
      <c r="I69" s="630"/>
      <c r="J69" s="631"/>
      <c r="K69" s="630"/>
      <c r="L69" s="630"/>
      <c r="M69" s="630"/>
      <c r="N69" s="994">
        <v>690</v>
      </c>
      <c r="O69" s="629">
        <f>'FORMATO PROPUESTA ECONÓMICA'!E67</f>
        <v>0</v>
      </c>
      <c r="P69" s="629">
        <f t="shared" si="3"/>
        <v>0</v>
      </c>
      <c r="Q69" s="24"/>
      <c r="R69" s="616"/>
      <c r="S69" s="1122"/>
    </row>
    <row r="70" spans="2:19" hidden="1" x14ac:dyDescent="0.25">
      <c r="B70" s="1"/>
      <c r="C70" s="618" t="e">
        <f>'FORMATO PROPUESTA ECONÓMICA'!#REF!</f>
        <v>#REF!</v>
      </c>
      <c r="D70" s="626"/>
      <c r="E70" s="620">
        <f>'FORMATO PROPUESTA ECONÓMICA'!A68</f>
        <v>7.6</v>
      </c>
      <c r="F70" s="633" t="s">
        <v>427</v>
      </c>
      <c r="G70" s="628" t="s">
        <v>79</v>
      </c>
      <c r="H70" s="629"/>
      <c r="I70" s="630"/>
      <c r="J70" s="631"/>
      <c r="K70" s="630"/>
      <c r="L70" s="630"/>
      <c r="M70" s="630"/>
      <c r="N70" s="994"/>
      <c r="O70" s="629">
        <f>'FORMATO PROPUESTA ECONÓMICA'!E68</f>
        <v>0</v>
      </c>
      <c r="P70" s="629">
        <f t="shared" si="3"/>
        <v>0</v>
      </c>
      <c r="Q70" s="24"/>
      <c r="R70" s="616"/>
      <c r="S70" s="1122"/>
    </row>
    <row r="71" spans="2:19" hidden="1" x14ac:dyDescent="0.25">
      <c r="B71" s="1"/>
      <c r="C71" s="618" t="e">
        <f>'FORMATO PROPUESTA ECONÓMICA'!#REF!</f>
        <v>#REF!</v>
      </c>
      <c r="D71" s="626"/>
      <c r="E71" s="620">
        <f>'FORMATO PROPUESTA ECONÓMICA'!A69</f>
        <v>7.7</v>
      </c>
      <c r="F71" s="633" t="s">
        <v>429</v>
      </c>
      <c r="G71" s="628" t="s">
        <v>79</v>
      </c>
      <c r="H71" s="629"/>
      <c r="I71" s="630"/>
      <c r="J71" s="631"/>
      <c r="K71" s="630"/>
      <c r="L71" s="630"/>
      <c r="M71" s="630"/>
      <c r="N71" s="994"/>
      <c r="O71" s="629">
        <f>'FORMATO PROPUESTA ECONÓMICA'!E69</f>
        <v>0</v>
      </c>
      <c r="P71" s="629">
        <f t="shared" si="3"/>
        <v>0</v>
      </c>
      <c r="Q71" s="24"/>
      <c r="R71" s="616"/>
      <c r="S71" s="1122"/>
    </row>
    <row r="72" spans="2:19" x14ac:dyDescent="0.25">
      <c r="B72" s="1"/>
      <c r="C72" s="618" t="e">
        <f>'FORMATO PROPUESTA ECONÓMICA'!#REF!</f>
        <v>#REF!</v>
      </c>
      <c r="D72" s="626"/>
      <c r="E72" s="620">
        <f>'FORMATO PROPUESTA ECONÓMICA'!A70</f>
        <v>7.8</v>
      </c>
      <c r="F72" s="633" t="s">
        <v>342</v>
      </c>
      <c r="G72" s="628" t="s">
        <v>79</v>
      </c>
      <c r="H72" s="629"/>
      <c r="I72" s="630"/>
      <c r="J72" s="631"/>
      <c r="K72" s="630"/>
      <c r="L72" s="630"/>
      <c r="M72" s="630"/>
      <c r="N72" s="994">
        <f>N69</f>
        <v>690</v>
      </c>
      <c r="O72" s="629">
        <f>'FORMATO PROPUESTA ECONÓMICA'!E70</f>
        <v>0</v>
      </c>
      <c r="P72" s="629">
        <f t="shared" si="3"/>
        <v>0</v>
      </c>
      <c r="Q72" s="24"/>
      <c r="R72" s="616"/>
      <c r="S72" s="1122"/>
    </row>
    <row r="73" spans="2:19" hidden="1" x14ac:dyDescent="0.25">
      <c r="B73" s="1" t="str">
        <f>+'[3]1. Colector Principal'!C43</f>
        <v>Corte, rotura y retiro de pavimento:</v>
      </c>
      <c r="C73" s="618" t="e">
        <f>'FORMATO PROPUESTA ECONÓMICA'!#REF!</f>
        <v>#REF!</v>
      </c>
      <c r="D73" s="626"/>
      <c r="E73" s="620">
        <f>'FORMATO PROPUESTA ECONÓMICA'!A71</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994"/>
      <c r="O73" s="629">
        <f>'FORMATO PROPUESTA ECONÓMICA'!E71</f>
        <v>0</v>
      </c>
      <c r="P73" s="629">
        <f t="shared" si="3"/>
        <v>0</v>
      </c>
      <c r="Q73" s="24"/>
      <c r="R73" s="616"/>
      <c r="S73" s="1122"/>
    </row>
    <row r="74" spans="2:19" x14ac:dyDescent="0.25">
      <c r="B74" s="1" t="str">
        <f>+'[3]1. Colector Principal'!C44</f>
        <v>Corte, rotura y retiro de pavimento rigido</v>
      </c>
      <c r="C74" s="618" t="e">
        <f>'FORMATO PROPUESTA ECONÓMICA'!#REF!</f>
        <v>#REF!</v>
      </c>
      <c r="D74" s="626"/>
      <c r="E74" s="620">
        <f>'FORMATO PROPUESTA ECONÓMICA'!A72</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994">
        <v>45</v>
      </c>
      <c r="O74" s="629">
        <f>'FORMATO PROPUESTA ECONÓMICA'!E72</f>
        <v>0</v>
      </c>
      <c r="P74" s="629">
        <f t="shared" si="3"/>
        <v>0</v>
      </c>
      <c r="Q74" s="24"/>
      <c r="R74" s="616"/>
      <c r="S74" s="1122"/>
    </row>
    <row r="75" spans="2:19" x14ac:dyDescent="0.25">
      <c r="B75" s="1" t="str">
        <f>+'[3]1. Colector Principal'!C45</f>
        <v xml:space="preserve">Corte, rotura y retiro de pavimento flexible </v>
      </c>
      <c r="C75" s="618" t="e">
        <f>'FORMATO PROPUESTA ECONÓMICA'!#REF!</f>
        <v>#REF!</v>
      </c>
      <c r="D75" s="626"/>
      <c r="E75" s="620">
        <f>'FORMATO PROPUESTA ECONÓMICA'!A73</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994">
        <v>345</v>
      </c>
      <c r="O75" s="629">
        <f>'FORMATO PROPUESTA ECONÓMICA'!E73</f>
        <v>0</v>
      </c>
      <c r="P75" s="629">
        <f t="shared" si="3"/>
        <v>0</v>
      </c>
      <c r="Q75" s="24"/>
      <c r="R75" s="616"/>
      <c r="S75" s="1122"/>
    </row>
    <row r="76" spans="2:19" ht="90" x14ac:dyDescent="0.25">
      <c r="C76" s="618" t="e">
        <f>'FORMATO PROPUESTA ECONÓMICA'!#REF!</f>
        <v>#REF!</v>
      </c>
      <c r="D76" s="626"/>
      <c r="E76" s="620">
        <f>'FORMATO PROPUESTA ECONÓMICA'!A74</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1009">
        <v>345</v>
      </c>
      <c r="O76" s="629">
        <f>'FORMATO PROPUESTA ECONÓMICA'!E74</f>
        <v>0</v>
      </c>
      <c r="P76" s="623">
        <f t="shared" si="3"/>
        <v>0</v>
      </c>
      <c r="Q76" s="24"/>
      <c r="R76" s="616"/>
      <c r="S76" s="1122"/>
    </row>
    <row r="77" spans="2:19" x14ac:dyDescent="0.25">
      <c r="B77" s="1" t="str">
        <f>+'[3]1. Colector Principal'!C47</f>
        <v>Pavimento rigido</v>
      </c>
      <c r="C77" s="618" t="e">
        <f>'FORMATO PROPUESTA ECONÓMICA'!#REF!</f>
        <v>#REF!</v>
      </c>
      <c r="D77" s="626"/>
      <c r="E77" s="620">
        <f>'FORMATO PROPUESTA ECONÓMICA'!A75</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994">
        <v>345</v>
      </c>
      <c r="O77" s="629">
        <f>'FORMATO PROPUESTA ECONÓMICA'!E75</f>
        <v>0</v>
      </c>
      <c r="P77" s="629">
        <f t="shared" si="3"/>
        <v>0</v>
      </c>
      <c r="Q77" s="24"/>
      <c r="R77" s="616"/>
      <c r="S77" s="1122"/>
    </row>
    <row r="78" spans="2:19" x14ac:dyDescent="0.25">
      <c r="B78" s="1" t="str">
        <f>+'[3]1. Colector Principal'!C48</f>
        <v xml:space="preserve">Pavimento flexible </v>
      </c>
      <c r="C78" s="618" t="e">
        <f>'FORMATO PROPUESTA ECONÓMICA'!#REF!</f>
        <v>#REF!</v>
      </c>
      <c r="D78" s="626"/>
      <c r="E78" s="620">
        <f>'FORMATO PROPUESTA ECONÓMICA'!A76</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994">
        <v>690</v>
      </c>
      <c r="O78" s="629">
        <f>'FORMATO PROPUESTA ECONÓMICA'!E76</f>
        <v>0</v>
      </c>
      <c r="P78" s="629">
        <f t="shared" si="3"/>
        <v>0</v>
      </c>
      <c r="Q78" s="24"/>
      <c r="R78" s="616"/>
      <c r="S78" s="1122"/>
    </row>
    <row r="79" spans="2:19" x14ac:dyDescent="0.25">
      <c r="B79" s="1" t="str">
        <f>+'[3]5.Domiciliarias Colector La Yuq'!C16</f>
        <v>Reparación de andén en concreto</v>
      </c>
      <c r="C79" s="618" t="e">
        <f>'FORMATO PROPUESTA ECONÓMICA'!#REF!</f>
        <v>#REF!</v>
      </c>
      <c r="D79" s="626"/>
      <c r="E79" s="620">
        <f>'FORMATO PROPUESTA ECONÓMICA'!A77</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995">
        <v>690</v>
      </c>
      <c r="O79" s="629">
        <f>'FORMATO PROPUESTA ECONÓMICA'!E77</f>
        <v>0</v>
      </c>
      <c r="P79" s="629">
        <f t="shared" si="3"/>
        <v>0</v>
      </c>
      <c r="Q79" s="24"/>
      <c r="R79" s="616"/>
      <c r="S79" s="1122"/>
    </row>
    <row r="80" spans="2:19" x14ac:dyDescent="0.25">
      <c r="B80" s="1"/>
      <c r="C80" s="708"/>
      <c r="D80" s="37"/>
      <c r="E80" s="721">
        <f>'FORMATO PROPUESTA ECONÓMICA'!A78</f>
        <v>8</v>
      </c>
      <c r="F80" s="34" t="s">
        <v>349</v>
      </c>
      <c r="G80" s="44"/>
      <c r="H80" s="44"/>
      <c r="I80" s="44"/>
      <c r="J80" s="44"/>
      <c r="K80" s="44"/>
      <c r="L80" s="44"/>
      <c r="M80" s="44"/>
      <c r="N80" s="983"/>
      <c r="O80" s="39"/>
      <c r="P80" s="39"/>
      <c r="Q80" s="24"/>
      <c r="R80" s="616"/>
      <c r="S80" s="1122"/>
    </row>
    <row r="81" spans="2:19" x14ac:dyDescent="0.25">
      <c r="B81" s="1"/>
      <c r="C81" s="618" t="e">
        <f>'FORMATO PROPUESTA ECONÓMICA'!#REF!</f>
        <v>#REF!</v>
      </c>
      <c r="D81" s="626"/>
      <c r="E81" s="620">
        <f>'FORMATO PROPUESTA ECONÓMICA'!A79</f>
        <v>8.1</v>
      </c>
      <c r="F81" s="633" t="s">
        <v>83</v>
      </c>
      <c r="G81" s="628" t="s">
        <v>79</v>
      </c>
      <c r="H81" s="629"/>
      <c r="I81" s="630"/>
      <c r="J81" s="631"/>
      <c r="K81" s="630"/>
      <c r="L81" s="630"/>
      <c r="M81" s="630"/>
      <c r="N81" s="995">
        <v>12</v>
      </c>
      <c r="O81" s="629">
        <f>'FORMATO PROPUESTA ECONÓMICA'!E79</f>
        <v>0</v>
      </c>
      <c r="P81" s="629">
        <f t="shared" ref="P81:P101" si="6">IF(ISERROR(+N81*O81),"",+N81*O81)</f>
        <v>0</v>
      </c>
      <c r="Q81" s="24"/>
      <c r="R81" s="616"/>
      <c r="S81" s="1122"/>
    </row>
    <row r="82" spans="2:19" hidden="1" x14ac:dyDescent="0.25">
      <c r="B82" s="1"/>
      <c r="C82" s="618" t="e">
        <f>'FORMATO PROPUESTA ECONÓMICA'!#REF!</f>
        <v>#REF!</v>
      </c>
      <c r="D82" s="626"/>
      <c r="E82" s="620">
        <f>'FORMATO PROPUESTA ECONÓMICA'!A80</f>
        <v>8.1999999999999993</v>
      </c>
      <c r="F82" s="633" t="s">
        <v>84</v>
      </c>
      <c r="G82" s="628" t="s">
        <v>79</v>
      </c>
      <c r="H82" s="629"/>
      <c r="I82" s="630"/>
      <c r="J82" s="631"/>
      <c r="K82" s="630"/>
      <c r="L82" s="630"/>
      <c r="M82" s="630"/>
      <c r="N82" s="995"/>
      <c r="O82" s="629">
        <f>'FORMATO PROPUESTA ECONÓMICA'!E80</f>
        <v>0</v>
      </c>
      <c r="P82" s="629">
        <f t="shared" si="6"/>
        <v>0</v>
      </c>
      <c r="Q82" s="24"/>
      <c r="R82" s="616"/>
      <c r="S82" s="1122"/>
    </row>
    <row r="83" spans="2:19" hidden="1" x14ac:dyDescent="0.25">
      <c r="B83" s="1"/>
      <c r="C83" s="618" t="e">
        <f>'FORMATO PROPUESTA ECONÓMICA'!#REF!</f>
        <v>#REF!</v>
      </c>
      <c r="D83" s="626"/>
      <c r="E83" s="620">
        <f>'FORMATO PROPUESTA ECONÓMICA'!A81</f>
        <v>8.3000000000000007</v>
      </c>
      <c r="F83" s="633" t="s">
        <v>85</v>
      </c>
      <c r="G83" s="628" t="s">
        <v>79</v>
      </c>
      <c r="H83" s="629"/>
      <c r="I83" s="630"/>
      <c r="J83" s="631"/>
      <c r="K83" s="630"/>
      <c r="L83" s="630"/>
      <c r="M83" s="630"/>
      <c r="N83" s="995"/>
      <c r="O83" s="629">
        <f>'FORMATO PROPUESTA ECONÓMICA'!E81</f>
        <v>0</v>
      </c>
      <c r="P83" s="629">
        <f t="shared" si="6"/>
        <v>0</v>
      </c>
      <c r="Q83" s="24"/>
      <c r="R83" s="616"/>
      <c r="S83" s="1122"/>
    </row>
    <row r="84" spans="2:19" hidden="1" x14ac:dyDescent="0.25">
      <c r="B84" s="1"/>
      <c r="C84" s="618" t="e">
        <f>'FORMATO PROPUESTA ECONÓMICA'!#REF!</f>
        <v>#REF!</v>
      </c>
      <c r="D84" s="626"/>
      <c r="E84" s="620">
        <f>'FORMATO PROPUESTA ECONÓMICA'!A82</f>
        <v>8.4</v>
      </c>
      <c r="F84" s="633" t="s">
        <v>86</v>
      </c>
      <c r="G84" s="628" t="s">
        <v>79</v>
      </c>
      <c r="H84" s="629"/>
      <c r="I84" s="630"/>
      <c r="J84" s="631"/>
      <c r="K84" s="630"/>
      <c r="L84" s="630"/>
      <c r="M84" s="630"/>
      <c r="N84" s="995"/>
      <c r="O84" s="629">
        <f>'FORMATO PROPUESTA ECONÓMICA'!E82</f>
        <v>0</v>
      </c>
      <c r="P84" s="629">
        <f t="shared" si="6"/>
        <v>0</v>
      </c>
      <c r="Q84" s="24"/>
      <c r="R84" s="616"/>
      <c r="S84" s="1122"/>
    </row>
    <row r="85" spans="2:19" ht="30" x14ac:dyDescent="0.25">
      <c r="B85" s="1"/>
      <c r="C85" s="618" t="e">
        <f>'FORMATO PROPUESTA ECONÓMICA'!#REF!</f>
        <v>#REF!</v>
      </c>
      <c r="D85" s="626"/>
      <c r="E85" s="620">
        <f>'FORMATO PROPUESTA ECONÓMICA'!A83</f>
        <v>8.5</v>
      </c>
      <c r="F85" s="633" t="s">
        <v>519</v>
      </c>
      <c r="G85" s="628" t="s">
        <v>79</v>
      </c>
      <c r="H85" s="629"/>
      <c r="I85" s="630"/>
      <c r="J85" s="631"/>
      <c r="K85" s="630"/>
      <c r="L85" s="630"/>
      <c r="M85" s="630"/>
      <c r="N85" s="995">
        <v>345</v>
      </c>
      <c r="O85" s="629">
        <f>'FORMATO PROPUESTA ECONÓMICA'!E83</f>
        <v>0</v>
      </c>
      <c r="P85" s="629">
        <f t="shared" si="6"/>
        <v>0</v>
      </c>
      <c r="Q85" s="24"/>
      <c r="R85" s="616"/>
      <c r="S85" s="1122"/>
    </row>
    <row r="86" spans="2:19" hidden="1" x14ac:dyDescent="0.25">
      <c r="B86" s="1"/>
      <c r="C86" s="618" t="e">
        <f>'FORMATO PROPUESTA ECONÓMICA'!#REF!</f>
        <v>#REF!</v>
      </c>
      <c r="D86" s="626"/>
      <c r="E86" s="620">
        <f>'FORMATO PROPUESTA ECONÓMICA'!A84</f>
        <v>8.6</v>
      </c>
      <c r="F86" s="633" t="s">
        <v>87</v>
      </c>
      <c r="G86" s="628" t="s">
        <v>79</v>
      </c>
      <c r="H86" s="629"/>
      <c r="I86" s="630"/>
      <c r="J86" s="631"/>
      <c r="K86" s="630"/>
      <c r="L86" s="630"/>
      <c r="M86" s="630"/>
      <c r="N86" s="995"/>
      <c r="O86" s="629">
        <f>'FORMATO PROPUESTA ECONÓMICA'!E84</f>
        <v>0</v>
      </c>
      <c r="P86" s="629">
        <f t="shared" si="6"/>
        <v>0</v>
      </c>
      <c r="Q86" s="24"/>
      <c r="R86" s="616"/>
      <c r="S86" s="1122"/>
    </row>
    <row r="87" spans="2:19" x14ac:dyDescent="0.25">
      <c r="B87" s="1"/>
      <c r="C87" s="618" t="e">
        <f>'FORMATO PROPUESTA ECONÓMICA'!#REF!</f>
        <v>#REF!</v>
      </c>
      <c r="D87" s="626"/>
      <c r="E87" s="620">
        <f>'FORMATO PROPUESTA ECONÓMICA'!A85</f>
        <v>8.6999999999999993</v>
      </c>
      <c r="F87" s="633" t="s">
        <v>88</v>
      </c>
      <c r="G87" s="628" t="s">
        <v>79</v>
      </c>
      <c r="H87" s="629"/>
      <c r="I87" s="630"/>
      <c r="J87" s="631"/>
      <c r="K87" s="630"/>
      <c r="L87" s="630"/>
      <c r="M87" s="630"/>
      <c r="N87" s="995">
        <v>14</v>
      </c>
      <c r="O87" s="629">
        <f>'FORMATO PROPUESTA ECONÓMICA'!E85</f>
        <v>0</v>
      </c>
      <c r="P87" s="629">
        <f t="shared" si="6"/>
        <v>0</v>
      </c>
      <c r="Q87" s="24"/>
      <c r="R87" s="616"/>
      <c r="S87" s="1122"/>
    </row>
    <row r="88" spans="2:19" hidden="1" x14ac:dyDescent="0.25">
      <c r="B88" s="1"/>
      <c r="C88" s="618" t="e">
        <f>'FORMATO PROPUESTA ECONÓMICA'!#REF!</f>
        <v>#REF!</v>
      </c>
      <c r="D88" s="626"/>
      <c r="E88" s="620">
        <f>'FORMATO PROPUESTA ECONÓMICA'!A86</f>
        <v>8.8000000000000007</v>
      </c>
      <c r="F88" s="633" t="s">
        <v>89</v>
      </c>
      <c r="G88" s="628" t="s">
        <v>79</v>
      </c>
      <c r="H88" s="629"/>
      <c r="I88" s="630"/>
      <c r="J88" s="631"/>
      <c r="K88" s="630"/>
      <c r="L88" s="630"/>
      <c r="M88" s="630"/>
      <c r="N88" s="995"/>
      <c r="O88" s="629">
        <f>'FORMATO PROPUESTA ECONÓMICA'!E86</f>
        <v>0</v>
      </c>
      <c r="P88" s="629">
        <f t="shared" si="6"/>
        <v>0</v>
      </c>
      <c r="Q88" s="24"/>
      <c r="R88" s="616"/>
      <c r="S88" s="1122"/>
    </row>
    <row r="89" spans="2:19" hidden="1" x14ac:dyDescent="0.25">
      <c r="B89" s="1"/>
      <c r="C89" s="618" t="e">
        <f>'FORMATO PROPUESTA ECONÓMICA'!#REF!</f>
        <v>#REF!</v>
      </c>
      <c r="D89" s="626"/>
      <c r="E89" s="620">
        <f>'FORMATO PROPUESTA ECONÓMICA'!A87</f>
        <v>8.9</v>
      </c>
      <c r="F89" s="633" t="s">
        <v>90</v>
      </c>
      <c r="G89" s="628" t="s">
        <v>79</v>
      </c>
      <c r="H89" s="629"/>
      <c r="I89" s="630"/>
      <c r="J89" s="631"/>
      <c r="K89" s="630"/>
      <c r="L89" s="630"/>
      <c r="M89" s="630"/>
      <c r="N89" s="995"/>
      <c r="O89" s="629">
        <f>'FORMATO PROPUESTA ECONÓMICA'!E87</f>
        <v>0</v>
      </c>
      <c r="P89" s="629">
        <f t="shared" si="6"/>
        <v>0</v>
      </c>
      <c r="Q89" s="24"/>
      <c r="R89" s="616"/>
      <c r="S89" s="1122"/>
    </row>
    <row r="90" spans="2:19" x14ac:dyDescent="0.25">
      <c r="B90" s="1"/>
      <c r="C90" s="618" t="e">
        <f>'FORMATO PROPUESTA ECONÓMICA'!#REF!</f>
        <v>#REF!</v>
      </c>
      <c r="D90" s="626"/>
      <c r="E90" s="620">
        <f>'FORMATO PROPUESTA ECONÓMICA'!A88</f>
        <v>8.1</v>
      </c>
      <c r="F90" s="633" t="s">
        <v>91</v>
      </c>
      <c r="G90" s="628" t="s">
        <v>79</v>
      </c>
      <c r="H90" s="629"/>
      <c r="I90" s="630"/>
      <c r="J90" s="631"/>
      <c r="K90" s="630"/>
      <c r="L90" s="630"/>
      <c r="M90" s="630"/>
      <c r="N90" s="995">
        <f>2*N95</f>
        <v>8</v>
      </c>
      <c r="O90" s="629">
        <f>'FORMATO PROPUESTA ECONÓMICA'!E88</f>
        <v>0</v>
      </c>
      <c r="P90" s="629">
        <f t="shared" si="6"/>
        <v>0</v>
      </c>
      <c r="Q90" s="24"/>
      <c r="R90" s="616"/>
      <c r="S90" s="1122"/>
    </row>
    <row r="91" spans="2:19" ht="30" hidden="1" x14ac:dyDescent="0.25">
      <c r="B91" s="1"/>
      <c r="C91" s="618" t="e">
        <f>'FORMATO PROPUESTA ECONÓMICA'!#REF!</f>
        <v>#REF!</v>
      </c>
      <c r="D91" s="626"/>
      <c r="E91" s="620">
        <f>'FORMATO PROPUESTA ECONÓMICA'!A89</f>
        <v>8.11</v>
      </c>
      <c r="F91" s="633" t="s">
        <v>92</v>
      </c>
      <c r="G91" s="628" t="s">
        <v>79</v>
      </c>
      <c r="H91" s="629"/>
      <c r="I91" s="630"/>
      <c r="J91" s="631"/>
      <c r="K91" s="630"/>
      <c r="L91" s="630"/>
      <c r="M91" s="630"/>
      <c r="N91" s="995"/>
      <c r="O91" s="629">
        <f>'FORMATO PROPUESTA ECONÓMICA'!E89</f>
        <v>0</v>
      </c>
      <c r="P91" s="629">
        <f t="shared" si="6"/>
        <v>0</v>
      </c>
      <c r="Q91" s="24"/>
      <c r="R91" s="616"/>
      <c r="S91" s="1122"/>
    </row>
    <row r="92" spans="2:19" ht="30" x14ac:dyDescent="0.25">
      <c r="B92" s="1"/>
      <c r="C92" s="618" t="e">
        <f>'FORMATO PROPUESTA ECONÓMICA'!#REF!</f>
        <v>#REF!</v>
      </c>
      <c r="D92" s="626"/>
      <c r="E92" s="620">
        <f>'FORMATO PROPUESTA ECONÓMICA'!A90</f>
        <v>8.1199999999999992</v>
      </c>
      <c r="F92" s="633" t="s">
        <v>93</v>
      </c>
      <c r="G92" s="628" t="s">
        <v>79</v>
      </c>
      <c r="H92" s="629"/>
      <c r="I92" s="630"/>
      <c r="J92" s="631"/>
      <c r="K92" s="630"/>
      <c r="L92" s="630"/>
      <c r="M92" s="630"/>
      <c r="N92" s="995">
        <v>7</v>
      </c>
      <c r="O92" s="629">
        <f>'FORMATO PROPUESTA ECONÓMICA'!E90</f>
        <v>0</v>
      </c>
      <c r="P92" s="629">
        <f t="shared" si="6"/>
        <v>0</v>
      </c>
      <c r="Q92" s="24"/>
      <c r="R92" s="616"/>
      <c r="S92" s="1122"/>
    </row>
    <row r="93" spans="2:19" ht="30" hidden="1" x14ac:dyDescent="0.25">
      <c r="B93" s="1"/>
      <c r="C93" s="618" t="e">
        <f>'FORMATO PROPUESTA ECONÓMICA'!#REF!</f>
        <v>#REF!</v>
      </c>
      <c r="D93" s="626"/>
      <c r="E93" s="620">
        <f>'FORMATO PROPUESTA ECONÓMICA'!A91</f>
        <v>8.1300000000000008</v>
      </c>
      <c r="F93" s="633" t="s">
        <v>94</v>
      </c>
      <c r="G93" s="628" t="s">
        <v>79</v>
      </c>
      <c r="H93" s="629"/>
      <c r="I93" s="630"/>
      <c r="J93" s="631"/>
      <c r="K93" s="630"/>
      <c r="L93" s="630"/>
      <c r="M93" s="630"/>
      <c r="N93" s="995"/>
      <c r="O93" s="629">
        <f>'FORMATO PROPUESTA ECONÓMICA'!E91</f>
        <v>0</v>
      </c>
      <c r="P93" s="629">
        <f t="shared" si="6"/>
        <v>0</v>
      </c>
      <c r="Q93" s="24"/>
      <c r="R93" s="616"/>
      <c r="S93" s="1122"/>
    </row>
    <row r="94" spans="2:19" ht="30" hidden="1" x14ac:dyDescent="0.25">
      <c r="B94" s="1"/>
      <c r="C94" s="618" t="e">
        <f>'FORMATO PROPUESTA ECONÓMICA'!#REF!</f>
        <v>#REF!</v>
      </c>
      <c r="D94" s="626"/>
      <c r="E94" s="620">
        <f>'FORMATO PROPUESTA ECONÓMICA'!A92</f>
        <v>8.14</v>
      </c>
      <c r="F94" s="633" t="s">
        <v>95</v>
      </c>
      <c r="G94" s="628" t="s">
        <v>79</v>
      </c>
      <c r="H94" s="629"/>
      <c r="I94" s="630"/>
      <c r="J94" s="631"/>
      <c r="K94" s="630"/>
      <c r="L94" s="630"/>
      <c r="M94" s="630"/>
      <c r="N94" s="995"/>
      <c r="O94" s="629">
        <f>'FORMATO PROPUESTA ECONÓMICA'!E92</f>
        <v>0</v>
      </c>
      <c r="P94" s="629">
        <f t="shared" si="6"/>
        <v>0</v>
      </c>
      <c r="Q94" s="24"/>
      <c r="R94" s="616"/>
      <c r="S94" s="1122"/>
    </row>
    <row r="95" spans="2:19" ht="30" x14ac:dyDescent="0.25">
      <c r="B95" s="1"/>
      <c r="C95" s="618" t="e">
        <f>'FORMATO PROPUESTA ECONÓMICA'!#REF!</f>
        <v>#REF!</v>
      </c>
      <c r="D95" s="626"/>
      <c r="E95" s="620">
        <f>'FORMATO PROPUESTA ECONÓMICA'!A93</f>
        <v>8.15</v>
      </c>
      <c r="F95" s="633" t="s">
        <v>96</v>
      </c>
      <c r="G95" s="628" t="s">
        <v>79</v>
      </c>
      <c r="H95" s="629"/>
      <c r="I95" s="630"/>
      <c r="J95" s="631"/>
      <c r="K95" s="630"/>
      <c r="L95" s="630"/>
      <c r="M95" s="630"/>
      <c r="N95" s="982">
        <v>4</v>
      </c>
      <c r="O95" s="629">
        <f>'FORMATO PROPUESTA ECONÓMICA'!E93</f>
        <v>0</v>
      </c>
      <c r="P95" s="629">
        <f t="shared" si="6"/>
        <v>0</v>
      </c>
      <c r="Q95" s="24"/>
      <c r="R95" s="616"/>
      <c r="S95" s="1122"/>
    </row>
    <row r="96" spans="2:19" ht="30" x14ac:dyDescent="0.25">
      <c r="B96" s="1"/>
      <c r="C96" s="618" t="e">
        <f>'FORMATO PROPUESTA ECONÓMICA'!#REF!</f>
        <v>#REF!</v>
      </c>
      <c r="D96" s="626"/>
      <c r="E96" s="620">
        <f>'FORMATO PROPUESTA ECONÓMICA'!A94</f>
        <v>8.16</v>
      </c>
      <c r="F96" s="633" t="s">
        <v>463</v>
      </c>
      <c r="G96" s="628" t="s">
        <v>79</v>
      </c>
      <c r="H96" s="629"/>
      <c r="I96" s="630"/>
      <c r="J96" s="631"/>
      <c r="K96" s="630"/>
      <c r="L96" s="630"/>
      <c r="M96" s="630"/>
      <c r="N96" s="995">
        <v>3</v>
      </c>
      <c r="O96" s="629">
        <f>'FORMATO PROPUESTA ECONÓMICA'!E94</f>
        <v>0</v>
      </c>
      <c r="P96" s="629">
        <f t="shared" si="6"/>
        <v>0</v>
      </c>
      <c r="Q96" s="24"/>
      <c r="R96" s="616"/>
      <c r="S96" s="1122"/>
    </row>
    <row r="97" spans="2:19" ht="60" x14ac:dyDescent="0.25">
      <c r="B97" s="1"/>
      <c r="C97" s="708"/>
      <c r="D97" s="37"/>
      <c r="E97" s="721">
        <f>'FORMATO PROPUESTA ECONÓMICA'!A95</f>
        <v>9</v>
      </c>
      <c r="F97" s="43" t="s">
        <v>447</v>
      </c>
      <c r="G97" s="44"/>
      <c r="H97" s="39"/>
      <c r="I97" s="40"/>
      <c r="J97" s="41"/>
      <c r="K97" s="40"/>
      <c r="L97" s="40"/>
      <c r="M97" s="40"/>
      <c r="N97" s="996"/>
      <c r="O97" s="39"/>
      <c r="P97" s="39"/>
      <c r="Q97" s="24"/>
      <c r="R97" s="616"/>
      <c r="S97" s="1122"/>
    </row>
    <row r="98" spans="2:19" ht="45" x14ac:dyDescent="0.25">
      <c r="B98" s="1"/>
      <c r="C98" s="618" t="e">
        <f>'FORMATO PROPUESTA ECONÓMICA'!#REF!</f>
        <v>#REF!</v>
      </c>
      <c r="D98" s="626"/>
      <c r="E98" s="634">
        <f>'FORMATO PROPUESTA ECONÓMICA'!A96</f>
        <v>9.1</v>
      </c>
      <c r="F98" s="633" t="s">
        <v>489</v>
      </c>
      <c r="G98" s="628" t="s">
        <v>79</v>
      </c>
      <c r="H98" s="629"/>
      <c r="I98" s="630"/>
      <c r="J98" s="631"/>
      <c r="K98" s="630"/>
      <c r="L98" s="630"/>
      <c r="M98" s="630"/>
      <c r="N98" s="995">
        <v>2</v>
      </c>
      <c r="O98" s="629">
        <f>'FORMATO PROPUESTA ECONÓMICA'!E96</f>
        <v>0</v>
      </c>
      <c r="P98" s="629">
        <f t="shared" si="6"/>
        <v>0</v>
      </c>
      <c r="Q98" s="24"/>
      <c r="R98" s="616"/>
      <c r="S98" s="1122"/>
    </row>
    <row r="99" spans="2:19" ht="45" x14ac:dyDescent="0.25">
      <c r="B99" s="1"/>
      <c r="C99" s="618" t="e">
        <f>'FORMATO PROPUESTA ECONÓMICA'!#REF!</f>
        <v>#REF!</v>
      </c>
      <c r="D99" s="626"/>
      <c r="E99" s="634" t="e">
        <f>'FORMATO PROPUESTA ECONÓMICA'!#REF!</f>
        <v>#REF!</v>
      </c>
      <c r="F99" s="633" t="s">
        <v>511</v>
      </c>
      <c r="G99" s="628" t="s">
        <v>79</v>
      </c>
      <c r="H99" s="629"/>
      <c r="I99" s="630"/>
      <c r="J99" s="631"/>
      <c r="K99" s="630"/>
      <c r="L99" s="630"/>
      <c r="M99" s="630"/>
      <c r="N99" s="995">
        <v>1</v>
      </c>
      <c r="O99" s="629" t="e">
        <f>'FORMATO PROPUESTA ECONÓMICA'!#REF!</f>
        <v>#REF!</v>
      </c>
      <c r="P99" s="629" t="str">
        <f t="shared" si="6"/>
        <v/>
      </c>
      <c r="Q99" s="24"/>
      <c r="R99" s="616"/>
      <c r="S99" s="1122"/>
    </row>
    <row r="100" spans="2:19" x14ac:dyDescent="0.25">
      <c r="B100" s="1"/>
      <c r="C100" s="708"/>
      <c r="D100" s="37"/>
      <c r="E100" s="721">
        <f>'FORMATO PROPUESTA ECONÓMICA'!A125</f>
        <v>10</v>
      </c>
      <c r="F100" s="34" t="s">
        <v>97</v>
      </c>
      <c r="G100" s="44"/>
      <c r="H100" s="44"/>
      <c r="I100" s="44"/>
      <c r="J100" s="44"/>
      <c r="K100" s="44"/>
      <c r="L100" s="44"/>
      <c r="M100" s="44"/>
      <c r="N100" s="983"/>
      <c r="O100" s="39"/>
      <c r="P100" s="39"/>
      <c r="Q100" s="24"/>
      <c r="R100" s="616"/>
      <c r="S100" s="1122"/>
    </row>
    <row r="101" spans="2:19" ht="45" x14ac:dyDescent="0.25">
      <c r="B101" s="1"/>
      <c r="C101" s="618" t="e">
        <f>'FORMATO PROPUESTA ECONÓMICA'!#REF!</f>
        <v>#REF!</v>
      </c>
      <c r="D101" s="715"/>
      <c r="E101" s="620" t="str">
        <f>'FORMATO PROPUESTA ECONÓMICA'!A126</f>
        <v>10.1</v>
      </c>
      <c r="F101" s="1008" t="s">
        <v>520</v>
      </c>
      <c r="G101" s="714" t="s">
        <v>79</v>
      </c>
      <c r="H101" s="714"/>
      <c r="I101" s="714"/>
      <c r="J101" s="714"/>
      <c r="K101" s="714"/>
      <c r="L101" s="714"/>
      <c r="M101" s="714"/>
      <c r="N101" s="951">
        <v>3</v>
      </c>
      <c r="O101" s="629">
        <f>'FORMATO PROPUESTA ECONÓMICA'!E126</f>
        <v>0</v>
      </c>
      <c r="P101" s="629">
        <f t="shared" si="6"/>
        <v>0</v>
      </c>
      <c r="Q101" s="24"/>
      <c r="R101" s="616"/>
      <c r="S101" s="1122"/>
    </row>
    <row r="102" spans="2:19" ht="60" x14ac:dyDescent="0.25">
      <c r="B102" s="1"/>
      <c r="C102" s="618" t="e">
        <f>'FORMATO PROPUESTA ECONÓMICA'!#REF!</f>
        <v>#REF!</v>
      </c>
      <c r="D102" s="619"/>
      <c r="E102" s="634">
        <f>'FORMATO PROPUESTA ECONÓMICA'!A127</f>
        <v>10.199999999999999</v>
      </c>
      <c r="F102" s="32" t="s">
        <v>444</v>
      </c>
      <c r="G102" s="628" t="s">
        <v>79</v>
      </c>
      <c r="H102" s="629"/>
      <c r="I102" s="630"/>
      <c r="J102" s="631"/>
      <c r="K102" s="630"/>
      <c r="L102" s="630"/>
      <c r="M102" s="630"/>
      <c r="N102" s="995">
        <v>345</v>
      </c>
      <c r="O102" s="629">
        <f>'FORMATO PROPUESTA ECONÓMICA'!E127</f>
        <v>0</v>
      </c>
      <c r="P102" s="629">
        <f t="shared" ref="P102:P107" si="7">IF(ISERROR(+N102*O102),"",+N102*O102)</f>
        <v>0</v>
      </c>
      <c r="Q102" s="24"/>
      <c r="R102" s="616"/>
      <c r="S102" s="1122"/>
    </row>
    <row r="103" spans="2:19" ht="60" x14ac:dyDescent="0.25">
      <c r="B103" s="1" t="str">
        <f>+'[3]5.Domiciliarias Colector La Yuq'!C18</f>
        <v>Reparación de pavimento</v>
      </c>
      <c r="C103" s="618" t="e">
        <f>'FORMATO PROPUESTA ECONÓMICA'!#REF!</f>
        <v>#REF!</v>
      </c>
      <c r="D103" s="619"/>
      <c r="E103" s="620" t="str">
        <f>'FORMATO PROPUESTA ECONÓMICA'!A128</f>
        <v>10.3</v>
      </c>
      <c r="F103" s="633" t="s">
        <v>98</v>
      </c>
      <c r="G103" s="628" t="s">
        <v>79</v>
      </c>
      <c r="H103" s="629">
        <f>IF(ISERROR(VLOOKUP($D103,[4]Ppto!$A$3:$F$100,4,)),0,VLOOKUP($D103,[4]Ppto!$A$3:$F$100,4,))</f>
        <v>0</v>
      </c>
      <c r="I103" s="630">
        <f>IF(ISERROR(VLOOKUP($D103,[4]Ppto!$A$3:$F$100,5,)),0,VLOOKUP($D103,[4]Ppto!$A$3:$F$100,5,))</f>
        <v>0</v>
      </c>
      <c r="J103" s="631">
        <v>1</v>
      </c>
      <c r="K103" s="630">
        <f>+I103-O103</f>
        <v>0</v>
      </c>
      <c r="L103" s="630">
        <f t="shared" si="0"/>
        <v>0</v>
      </c>
      <c r="M103" s="630">
        <f>+L103-P103</f>
        <v>0</v>
      </c>
      <c r="N103" s="992">
        <f>N96+N95+N92</f>
        <v>14</v>
      </c>
      <c r="O103" s="629">
        <f>'FORMATO PROPUESTA ECONÓMICA'!E128</f>
        <v>0</v>
      </c>
      <c r="P103" s="629">
        <f t="shared" si="7"/>
        <v>0</v>
      </c>
      <c r="Q103" s="24"/>
      <c r="R103" s="616"/>
      <c r="S103" s="1122"/>
    </row>
    <row r="104" spans="2:19" x14ac:dyDescent="0.25">
      <c r="B104" s="2" t="str">
        <f>+'[3]5.Domiciliarias Colector La Yuq'!C19</f>
        <v>Construcción de pavimento</v>
      </c>
      <c r="C104" s="618" t="e">
        <f>'FORMATO PROPUESTA ECONÓMICA'!#REF!</f>
        <v>#REF!</v>
      </c>
      <c r="D104" s="619"/>
      <c r="E104" s="620" t="str">
        <f>'FORMATO PROPUESTA ECONÓMICA'!A129</f>
        <v>10.4</v>
      </c>
      <c r="F104" s="633" t="s">
        <v>99</v>
      </c>
      <c r="G104" s="628" t="s">
        <v>59</v>
      </c>
      <c r="H104" s="629">
        <f>IF(ISERROR(VLOOKUP($D104,[4]Ppto!$A$3:$F$100,4,)),0,VLOOKUP($D104,[4]Ppto!$A$3:$F$100,4,))</f>
        <v>0</v>
      </c>
      <c r="I104" s="630">
        <f>IF(ISERROR(VLOOKUP($D104,[4]Ppto!$A$3:$F$100,5,)),0,VLOOKUP($D104,[4]Ppto!$A$3:$F$100,5,))</f>
        <v>0</v>
      </c>
      <c r="J104" s="631">
        <v>1</v>
      </c>
      <c r="K104" s="630">
        <f>+I104-O104</f>
        <v>0</v>
      </c>
      <c r="L104" s="630">
        <f t="shared" si="0"/>
        <v>0</v>
      </c>
      <c r="M104" s="630">
        <f>+L104-P104</f>
        <v>0</v>
      </c>
      <c r="N104" s="992">
        <f>N36+N39</f>
        <v>3549</v>
      </c>
      <c r="O104" s="629">
        <f>'FORMATO PROPUESTA ECONÓMICA'!E129</f>
        <v>0</v>
      </c>
      <c r="P104" s="629">
        <f t="shared" si="7"/>
        <v>0</v>
      </c>
      <c r="Q104" s="24"/>
      <c r="R104" s="616"/>
      <c r="S104" s="1122"/>
    </row>
    <row r="105" spans="2:19" x14ac:dyDescent="0.25">
      <c r="B105" s="2" t="str">
        <f>+'[3]5.Domiciliarias Colector La Yuq'!C20</f>
        <v>Construcción de cajas  0.6x0.6x0.8 m</v>
      </c>
      <c r="C105" s="618" t="e">
        <f>'FORMATO PROPUESTA ECONÓMICA'!#REF!</f>
        <v>#REF!</v>
      </c>
      <c r="D105" s="619"/>
      <c r="E105" s="620">
        <f>'FORMATO PROPUESTA ECONÓMICA'!A130</f>
        <v>10.5</v>
      </c>
      <c r="F105" s="633" t="s">
        <v>100</v>
      </c>
      <c r="G105" s="628" t="s">
        <v>15</v>
      </c>
      <c r="H105" s="629">
        <f>IF(ISERROR(VLOOKUP($D105,[4]Ppto!$A$3:$F$100,4,)),0,VLOOKUP($D105,[4]Ppto!$A$3:$F$100,4,))</f>
        <v>0</v>
      </c>
      <c r="I105" s="630">
        <f>IF(ISERROR(VLOOKUP($D105,[4]Ppto!$A$3:$F$100,5,)),0,VLOOKUP($D105,[4]Ppto!$A$3:$F$100,5,))</f>
        <v>0</v>
      </c>
      <c r="J105" s="631">
        <v>1</v>
      </c>
      <c r="K105" s="630">
        <f>+I105-O105</f>
        <v>0</v>
      </c>
      <c r="L105" s="630">
        <f t="shared" si="0"/>
        <v>0</v>
      </c>
      <c r="M105" s="630">
        <f>+L105-P105</f>
        <v>0</v>
      </c>
      <c r="N105" s="992">
        <v>0.45300017588758845</v>
      </c>
      <c r="O105" s="629">
        <f>'FORMATO PROPUESTA ECONÓMICA'!E130</f>
        <v>0</v>
      </c>
      <c r="P105" s="629">
        <f t="shared" si="7"/>
        <v>0</v>
      </c>
      <c r="Q105" s="24"/>
      <c r="R105" s="616"/>
      <c r="S105" s="1122"/>
    </row>
    <row r="106" spans="2:19" ht="45" hidden="1" x14ac:dyDescent="0.25">
      <c r="B106" s="2" t="str">
        <f>+'[3]5.Domiciliarias Colector La Yuq'!C21</f>
        <v>De empalme en andén o zona verde, para domiciliarias de alcantarillado.  Incluye acabado de la tapa según andén existente</v>
      </c>
      <c r="C106" s="618" t="e">
        <f>'FORMATO PROPUESTA ECONÓMICA'!#REF!</f>
        <v>#REF!</v>
      </c>
      <c r="D106" s="619"/>
      <c r="E106" s="620">
        <f>'FORMATO PROPUESTA ECONÓMICA'!A131</f>
        <v>10.6</v>
      </c>
      <c r="F106" s="633" t="s">
        <v>101</v>
      </c>
      <c r="G106" s="628" t="s">
        <v>352</v>
      </c>
      <c r="H106" s="629">
        <f>IF(ISERROR(VLOOKUP($D106,[4]Ppto!$A$3:$F$100,4,)),0,VLOOKUP($D106,[4]Ppto!$A$3:$F$100,4,))</f>
        <v>0</v>
      </c>
      <c r="I106" s="630">
        <f>IF(ISERROR(VLOOKUP($D106,[4]Ppto!$A$3:$F$100,5,)),0,VLOOKUP($D106,[4]Ppto!$A$3:$F$100,5,))</f>
        <v>0</v>
      </c>
      <c r="J106" s="631">
        <v>1</v>
      </c>
      <c r="K106" s="630">
        <f>+I106-O106</f>
        <v>0</v>
      </c>
      <c r="L106" s="630">
        <f t="shared" si="0"/>
        <v>0</v>
      </c>
      <c r="M106" s="630">
        <f>+L106-P106</f>
        <v>0</v>
      </c>
      <c r="N106" s="990"/>
      <c r="O106" s="629">
        <f>'FORMATO PROPUESTA ECONÓMICA'!E131</f>
        <v>0</v>
      </c>
      <c r="P106" s="629">
        <f t="shared" si="7"/>
        <v>0</v>
      </c>
      <c r="Q106" s="24"/>
      <c r="R106" s="616"/>
      <c r="S106" s="1122"/>
    </row>
    <row r="107" spans="2:19" ht="30" hidden="1" x14ac:dyDescent="0.25">
      <c r="B107" s="2"/>
      <c r="C107" s="618"/>
      <c r="D107" s="619"/>
      <c r="E107" s="620">
        <f>'FORMATO PROPUESTA ECONÓMICA'!A132</f>
        <v>10.7</v>
      </c>
      <c r="F107" s="633" t="s">
        <v>465</v>
      </c>
      <c r="G107" s="628" t="s">
        <v>16</v>
      </c>
      <c r="H107" s="629"/>
      <c r="I107" s="630"/>
      <c r="J107" s="631"/>
      <c r="K107" s="630"/>
      <c r="L107" s="630"/>
      <c r="M107" s="630"/>
      <c r="N107" s="990"/>
      <c r="O107" s="629">
        <f>'FORMATO PROPUESTA ECONÓMICA'!E132</f>
        <v>0</v>
      </c>
      <c r="P107" s="629">
        <f t="shared" si="7"/>
        <v>0</v>
      </c>
      <c r="Q107" s="24"/>
      <c r="R107" s="616"/>
      <c r="S107" s="1122"/>
    </row>
    <row r="108" spans="2:19" x14ac:dyDescent="0.25">
      <c r="B108" s="1" t="str">
        <f>+'[3]1. Colector Principal'!C51</f>
        <v>Suministro e Intalación de geotextil para la protección del lleno en la zanja</v>
      </c>
      <c r="C108" s="708" t="e">
        <f>'FORMATO PROPUESTA ECONÓMICA'!#REF!</f>
        <v>#REF!</v>
      </c>
      <c r="D108" s="37"/>
      <c r="E108" s="721">
        <f>'FORMATO PROPUESTA ECONÓMICA'!A133</f>
        <v>11</v>
      </c>
      <c r="F108" s="35" t="s">
        <v>102</v>
      </c>
      <c r="G108" s="561"/>
      <c r="H108" s="561"/>
      <c r="I108" s="561"/>
      <c r="J108" s="561"/>
      <c r="K108" s="561"/>
      <c r="L108" s="561"/>
      <c r="M108" s="561"/>
      <c r="N108" s="997"/>
      <c r="O108" s="39"/>
      <c r="P108" s="39"/>
      <c r="Q108" s="24"/>
      <c r="R108" s="616"/>
      <c r="S108" s="1122"/>
    </row>
    <row r="109" spans="2:19" ht="30" hidden="1" x14ac:dyDescent="0.25">
      <c r="B109" s="1" t="str">
        <f>+'[3]1. Colector Principal'!C52</f>
        <v>Geotextil No tejido por cada 100m2</v>
      </c>
      <c r="C109" s="618" t="e">
        <f>'FORMATO PROPUESTA ECONÓMICA'!#REF!</f>
        <v>#REF!</v>
      </c>
      <c r="D109" s="626"/>
      <c r="E109" s="620">
        <f>'FORMATO PROPUESTA ECONÓMICA'!A134</f>
        <v>11.1</v>
      </c>
      <c r="F109" s="633" t="s">
        <v>103</v>
      </c>
      <c r="G109" s="628" t="s">
        <v>15</v>
      </c>
      <c r="H109" s="629">
        <f>IF(ISERROR(VLOOKUP($D109,[4]Ppto!$A$3:$F$100,4,)),0,VLOOKUP($D109,[4]Ppto!$A$3:$F$100,4,))</f>
        <v>0</v>
      </c>
      <c r="I109" s="630">
        <f>IF(ISERROR(VLOOKUP($D109,[4]Ppto!$A$3:$F$100,5,)),0,VLOOKUP($D109,[4]Ppto!$A$3:$F$100,5,))</f>
        <v>0</v>
      </c>
      <c r="J109" s="631">
        <v>1.0000020789169788</v>
      </c>
      <c r="K109" s="630">
        <f>+I109-O109</f>
        <v>0</v>
      </c>
      <c r="L109" s="630">
        <f t="shared" si="0"/>
        <v>0</v>
      </c>
      <c r="M109" s="630">
        <f>+L109-P109</f>
        <v>0</v>
      </c>
      <c r="N109" s="990"/>
      <c r="O109" s="629">
        <f>'FORMATO PROPUESTA ECONÓMICA'!E134</f>
        <v>0</v>
      </c>
      <c r="P109" s="629">
        <f>IF(ISERROR(+N109*O109),"",+N109*O109)</f>
        <v>0</v>
      </c>
      <c r="Q109" s="24"/>
      <c r="R109" s="616"/>
      <c r="S109" s="1122"/>
    </row>
    <row r="110" spans="2:19" x14ac:dyDescent="0.25">
      <c r="B110" s="1" t="str">
        <f>+'[3]1. Colector Principal'!C53</f>
        <v>Pilotes de madera Inmunizada Ø=0.15</v>
      </c>
      <c r="C110" s="618" t="e">
        <f>'FORMATO PROPUESTA ECONÓMICA'!#REF!</f>
        <v>#REF!</v>
      </c>
      <c r="D110" s="626"/>
      <c r="E110" s="620">
        <f>'FORMATO PROPUESTA ECONÓMICA'!A135</f>
        <v>11.2</v>
      </c>
      <c r="F110" s="633" t="s">
        <v>104</v>
      </c>
      <c r="G110" s="628" t="s">
        <v>15</v>
      </c>
      <c r="H110" s="629">
        <f>IF(ISERROR(VLOOKUP($D110,[4]Ppto!$A$3:$F$100,4,)),0,VLOOKUP($D110,[4]Ppto!$A$3:$F$100,4,))</f>
        <v>0</v>
      </c>
      <c r="I110" s="630">
        <f>IF(ISERROR(VLOOKUP($D110,[4]Ppto!$A$3:$F$100,5,)),0,VLOOKUP($D110,[4]Ppto!$A$3:$F$100,5,))</f>
        <v>0</v>
      </c>
      <c r="J110" s="631">
        <v>1.0000000000000002</v>
      </c>
      <c r="K110" s="630">
        <f>+I110-O110</f>
        <v>0</v>
      </c>
      <c r="L110" s="630">
        <f t="shared" si="0"/>
        <v>0</v>
      </c>
      <c r="M110" s="630">
        <f>+L110-P110</f>
        <v>0</v>
      </c>
      <c r="N110" s="998">
        <f>1150*0.6*0.2</f>
        <v>138</v>
      </c>
      <c r="O110" s="629">
        <f>'FORMATO PROPUESTA ECONÓMICA'!E135</f>
        <v>0</v>
      </c>
      <c r="P110" s="629">
        <f>IF(ISERROR(+N110*O110),"",+N110*O110)</f>
        <v>0</v>
      </c>
      <c r="Q110" s="24"/>
      <c r="R110" s="616"/>
      <c r="S110" s="1122"/>
    </row>
    <row r="111" spans="2:19" ht="60" x14ac:dyDescent="0.25">
      <c r="B111" s="1"/>
      <c r="C111" s="618" t="e">
        <f>'FORMATO PROPUESTA ECONÓMICA'!#REF!</f>
        <v>#REF!</v>
      </c>
      <c r="D111" s="619"/>
      <c r="E111" s="620">
        <f>'FORMATO PROPUESTA ECONÓMICA'!A136</f>
        <v>11.3</v>
      </c>
      <c r="F111" s="633" t="s">
        <v>105</v>
      </c>
      <c r="G111" s="628" t="s">
        <v>15</v>
      </c>
      <c r="H111" s="629"/>
      <c r="I111" s="630"/>
      <c r="J111" s="631"/>
      <c r="K111" s="630"/>
      <c r="L111" s="630"/>
      <c r="M111" s="630"/>
      <c r="N111" s="999">
        <f>N110</f>
        <v>138</v>
      </c>
      <c r="O111" s="629">
        <f>'FORMATO PROPUESTA ECONÓMICA'!E136</f>
        <v>0</v>
      </c>
      <c r="P111" s="629">
        <f>IF(ISERROR(+N111*O111),"",+N111*O111)</f>
        <v>0</v>
      </c>
      <c r="Q111" s="24"/>
      <c r="R111" s="616"/>
      <c r="S111" s="1122"/>
    </row>
    <row r="112" spans="2:19" ht="45" hidden="1" x14ac:dyDescent="0.25">
      <c r="B112" s="1"/>
      <c r="C112" s="618" t="e">
        <f>'FORMATO PROPUESTA ECONÓMICA'!#REF!</f>
        <v>#REF!</v>
      </c>
      <c r="D112" s="619"/>
      <c r="E112" s="620">
        <f>'FORMATO PROPUESTA ECONÓMICA'!A137</f>
        <v>11.4</v>
      </c>
      <c r="F112" s="633" t="s">
        <v>106</v>
      </c>
      <c r="G112" s="628" t="s">
        <v>15</v>
      </c>
      <c r="H112" s="629">
        <f>IF(ISERROR(VLOOKUP($D112,[4]Ppto!$A$3:$F$100,4,)),0,VLOOKUP($D112,[4]Ppto!$A$3:$F$100,4,))</f>
        <v>0</v>
      </c>
      <c r="I112" s="630">
        <f>IF(ISERROR(VLOOKUP($D112,[4]Ppto!$A$3:$F$100,5,)),0,VLOOKUP($D112,[4]Ppto!$A$3:$F$100,5,))</f>
        <v>0</v>
      </c>
      <c r="J112" s="631">
        <v>0.99996823491225251</v>
      </c>
      <c r="K112" s="630">
        <f>+I112-O112</f>
        <v>-926131.99</v>
      </c>
      <c r="L112" s="630">
        <f t="shared" ref="L112" si="8">+H112*I112</f>
        <v>0</v>
      </c>
      <c r="M112" s="630">
        <f>+L112-P112</f>
        <v>0</v>
      </c>
      <c r="N112" s="998"/>
      <c r="O112" s="629">
        <v>926131.99</v>
      </c>
      <c r="P112" s="629">
        <f>IF(ISERROR(+N112*O112),"",+N112*O112)</f>
        <v>0</v>
      </c>
      <c r="Q112" s="24"/>
      <c r="R112" s="616"/>
      <c r="S112" s="1122"/>
    </row>
    <row r="113" spans="2:19" hidden="1" x14ac:dyDescent="0.25">
      <c r="B113" s="1"/>
      <c r="C113" s="708"/>
      <c r="D113" s="37"/>
      <c r="E113" s="721">
        <f>'FORMATO PROPUESTA ECONÓMICA'!A138</f>
        <v>12</v>
      </c>
      <c r="F113" s="45" t="s">
        <v>350</v>
      </c>
      <c r="G113" s="44"/>
      <c r="H113" s="44"/>
      <c r="I113" s="44"/>
      <c r="J113" s="44"/>
      <c r="K113" s="44"/>
      <c r="L113" s="44"/>
      <c r="M113" s="44"/>
      <c r="N113" s="983"/>
      <c r="O113" s="39"/>
      <c r="P113" s="39"/>
      <c r="Q113" s="24"/>
      <c r="R113" s="616"/>
      <c r="S113" s="1122"/>
    </row>
    <row r="114" spans="2:19" hidden="1" x14ac:dyDescent="0.25">
      <c r="B114" s="1" t="str">
        <f>+'[3]1. Colector Principal'!C54</f>
        <v>Elaboración y Colocación de Concreto 2500 PSI para anclajes (incluye formaletería y Clavos)</v>
      </c>
      <c r="C114" s="618" t="e">
        <f>'FORMATO PROPUESTA ECONÓMICA'!#REF!</f>
        <v>#REF!</v>
      </c>
      <c r="D114" s="626"/>
      <c r="E114" s="620">
        <f>'FORMATO PROPUESTA ECONÓMICA'!A139</f>
        <v>12.1</v>
      </c>
      <c r="F114" s="627" t="s">
        <v>351</v>
      </c>
      <c r="G114" s="628" t="s">
        <v>79</v>
      </c>
      <c r="H114" s="629">
        <v>118716.25</v>
      </c>
      <c r="I114" s="630"/>
      <c r="J114" s="631"/>
      <c r="K114" s="630"/>
      <c r="L114" s="630"/>
      <c r="M114" s="630"/>
      <c r="N114" s="998">
        <f>N96+N95+N92+N81+N62+N55+N52+N44+N41</f>
        <v>109</v>
      </c>
      <c r="O114" s="629"/>
      <c r="P114" s="629">
        <f>IF(ISERROR(+N114*O114),"",+N114*O114)</f>
        <v>0</v>
      </c>
      <c r="Q114" s="24"/>
      <c r="R114" s="616"/>
      <c r="S114" s="1122"/>
    </row>
    <row r="115" spans="2:19" ht="21" x14ac:dyDescent="0.25">
      <c r="B115" s="1">
        <f>+'[3]1. Colector Principal'!C64</f>
        <v>0</v>
      </c>
      <c r="C115" s="708" t="e">
        <f>'FORMATO PROPUESTA ECONÓMICA'!#REF!</f>
        <v>#REF!</v>
      </c>
      <c r="D115" s="37"/>
      <c r="E115" s="721" t="e">
        <f>'FORMATO PROPUESTA ECONÓMICA'!#REF!</f>
        <v>#REF!</v>
      </c>
      <c r="F115" s="575" t="s">
        <v>18</v>
      </c>
      <c r="G115" s="44"/>
      <c r="H115" s="39">
        <f>IF(ISERROR(VLOOKUP($D115,[4]Ppto!$A$3:$F$100,4,)),0,VLOOKUP($D115,[4]Ppto!$A$3:$F$100,4,))</f>
        <v>0</v>
      </c>
      <c r="I115" s="40">
        <f>IF(ISERROR(VLOOKUP($D115,[4]Ppto!$A$3:$F$100,5,)),0,VLOOKUP($D115,[4]Ppto!$A$3:$F$100,5,))</f>
        <v>0</v>
      </c>
      <c r="J115" s="41">
        <v>1</v>
      </c>
      <c r="K115" s="40">
        <f>+I115-O115</f>
        <v>0</v>
      </c>
      <c r="L115" s="40">
        <f t="shared" ref="L115:L116" si="9">+H115*I115</f>
        <v>0</v>
      </c>
      <c r="M115" s="40">
        <f>+L115-P115</f>
        <v>0</v>
      </c>
      <c r="N115" s="912"/>
      <c r="O115" s="39"/>
      <c r="P115" s="39"/>
      <c r="Q115" s="24"/>
      <c r="R115" s="616"/>
      <c r="S115" s="1122"/>
    </row>
    <row r="116" spans="2:19" ht="30" x14ac:dyDescent="0.25">
      <c r="B116" s="1" t="str">
        <f>+'[3]1. Colector Principal'!C65</f>
        <v>Suministro e Instalaciób  de tubería de PE para Acueducto PE 100 PN 6 RDE 26,(incluye nivelación)  en los siguientes diámetros nominales:</v>
      </c>
      <c r="C116" s="708" t="e">
        <f>'FORMATO PROPUESTA ECONÓMICA'!#REF!</f>
        <v>#REF!</v>
      </c>
      <c r="D116" s="37"/>
      <c r="E116" s="721" t="e">
        <f>'FORMATO PROPUESTA ECONÓMICA'!#REF!</f>
        <v>#REF!</v>
      </c>
      <c r="F116" s="43" t="s">
        <v>367</v>
      </c>
      <c r="G116" s="44"/>
      <c r="H116" s="39">
        <f>IF(ISERROR(VLOOKUP($D116,[4]Ppto!$A$3:$F$100,4,)),0,VLOOKUP($D116,[4]Ppto!$A$3:$F$100,4,))</f>
        <v>0</v>
      </c>
      <c r="I116" s="40">
        <f>IF(ISERROR(VLOOKUP($D116,[4]Ppto!$A$3:$F$100,5,)),0,VLOOKUP($D116,[4]Ppto!$A$3:$F$100,5,))</f>
        <v>0</v>
      </c>
      <c r="J116" s="41">
        <v>1</v>
      </c>
      <c r="K116" s="40">
        <f>+I116-O116</f>
        <v>0</v>
      </c>
      <c r="L116" s="40">
        <f t="shared" si="9"/>
        <v>0</v>
      </c>
      <c r="M116" s="40">
        <f>+L116-P116</f>
        <v>0</v>
      </c>
      <c r="N116" s="1000"/>
      <c r="O116" s="39"/>
      <c r="P116" s="1006">
        <f>SUM(P11:P115)</f>
        <v>0</v>
      </c>
      <c r="Q116" s="24"/>
      <c r="R116" s="616"/>
      <c r="S116" s="1122"/>
    </row>
    <row r="117" spans="2:19" hidden="1" x14ac:dyDescent="0.25">
      <c r="B117" s="1"/>
      <c r="C117" s="618" t="e">
        <f>'FORMATO PROPUESTA ECONÓMICA'!#REF!</f>
        <v>#REF!</v>
      </c>
      <c r="D117" s="626"/>
      <c r="E117" s="620" t="e">
        <f>'FORMATO PROPUESTA ECONÓMICA'!#REF!</f>
        <v>#REF!</v>
      </c>
      <c r="F117" s="633" t="s">
        <v>368</v>
      </c>
      <c r="G117" s="639">
        <f>N35</f>
        <v>0</v>
      </c>
      <c r="H117" s="639">
        <f t="shared" ref="H117:J117" si="10">O35</f>
        <v>0</v>
      </c>
      <c r="I117" s="639">
        <f t="shared" si="10"/>
        <v>0</v>
      </c>
      <c r="J117" s="639">
        <f t="shared" si="10"/>
        <v>0</v>
      </c>
      <c r="K117" s="639" t="e">
        <f>#REF!</f>
        <v>#REF!</v>
      </c>
      <c r="L117" s="639" t="e">
        <f>#REF!</f>
        <v>#REF!</v>
      </c>
      <c r="M117" s="639">
        <f>R35</f>
        <v>0</v>
      </c>
      <c r="N117" s="984">
        <f>S35</f>
        <v>0</v>
      </c>
      <c r="O117" s="629">
        <v>10208</v>
      </c>
      <c r="P117" s="629">
        <f t="shared" ref="P117:P143" si="11">IF(ISERROR(+N117*O117),"",+N117*O117)</f>
        <v>0</v>
      </c>
      <c r="Q117" s="24"/>
      <c r="S117" s="1122"/>
    </row>
    <row r="118" spans="2:19" x14ac:dyDescent="0.25">
      <c r="B118" s="1" t="str">
        <f>+'[3]2.Secundarias B_Obrero'!C52</f>
        <v>Tubería PE Øint. 184.6mm</v>
      </c>
      <c r="C118" s="618" t="e">
        <f>'FORMATO PROPUESTA ECONÓMICA'!#REF!</f>
        <v>#REF!</v>
      </c>
      <c r="D118" s="626"/>
      <c r="E118" s="620" t="e">
        <f>'FORMATO PROPUESTA ECONÓMICA'!#REF!</f>
        <v>#REF!</v>
      </c>
      <c r="F118" s="633" t="s">
        <v>404</v>
      </c>
      <c r="G118" s="639" t="str">
        <f t="shared" ref="G118:G128" si="12">G36</f>
        <v>ml</v>
      </c>
      <c r="H118" s="639">
        <f t="shared" ref="H118" si="13">O36</f>
        <v>0</v>
      </c>
      <c r="I118" s="639">
        <f t="shared" ref="I118" si="14">P36</f>
        <v>0</v>
      </c>
      <c r="J118" s="639">
        <f t="shared" ref="J118" si="15">Q36</f>
        <v>0</v>
      </c>
      <c r="K118" s="639" t="e">
        <f>#REF!</f>
        <v>#REF!</v>
      </c>
      <c r="L118" s="639" t="e">
        <f>#REF!</f>
        <v>#REF!</v>
      </c>
      <c r="M118" s="639">
        <f t="shared" ref="M118" si="16">R36</f>
        <v>0</v>
      </c>
      <c r="N118" s="984">
        <f t="shared" ref="N118:N128" si="17">N36</f>
        <v>2134</v>
      </c>
      <c r="O118" s="629">
        <v>13708</v>
      </c>
      <c r="P118" s="629">
        <f t="shared" si="11"/>
        <v>29252872</v>
      </c>
      <c r="Q118" s="24"/>
      <c r="S118" s="1122"/>
    </row>
    <row r="119" spans="2:19" hidden="1" x14ac:dyDescent="0.25">
      <c r="B119" s="1" t="str">
        <f>+'[3]1. Colector Principal'!C66</f>
        <v>Tubería PE Øint. 230.8mm</v>
      </c>
      <c r="C119" s="618" t="e">
        <f>'FORMATO PROPUESTA ECONÓMICA'!#REF!</f>
        <v>#REF!</v>
      </c>
      <c r="D119" s="626"/>
      <c r="E119" s="620" t="e">
        <f>'FORMATO PROPUESTA ECONÓMICA'!#REF!</f>
        <v>#REF!</v>
      </c>
      <c r="F119" s="633" t="s">
        <v>405</v>
      </c>
      <c r="G119" s="639" t="str">
        <f t="shared" si="12"/>
        <v>ml</v>
      </c>
      <c r="H119" s="639">
        <f t="shared" ref="H119:H127" si="18">O37</f>
        <v>0</v>
      </c>
      <c r="I119" s="639">
        <f t="shared" ref="I119:I127" si="19">P37</f>
        <v>0</v>
      </c>
      <c r="J119" s="639">
        <f t="shared" ref="J119:J127" si="20">Q37</f>
        <v>0</v>
      </c>
      <c r="K119" s="639" t="e">
        <f>#REF!</f>
        <v>#REF!</v>
      </c>
      <c r="L119" s="639" t="e">
        <f>#REF!</f>
        <v>#REF!</v>
      </c>
      <c r="M119" s="639">
        <f t="shared" ref="M119:M127" si="21">R37</f>
        <v>0</v>
      </c>
      <c r="N119" s="984">
        <f t="shared" si="17"/>
        <v>0</v>
      </c>
      <c r="O119" s="629">
        <v>20240</v>
      </c>
      <c r="P119" s="629">
        <f t="shared" si="11"/>
        <v>0</v>
      </c>
      <c r="Q119" s="24"/>
      <c r="S119" s="1122"/>
    </row>
    <row r="120" spans="2:19" hidden="1" x14ac:dyDescent="0.25">
      <c r="B120" s="1" t="str">
        <f>+'[3]1. Colector Principal'!C67</f>
        <v>Tubería PE Øint. 290.8mm</v>
      </c>
      <c r="C120" s="618" t="e">
        <f>'FORMATO PROPUESTA ECONÓMICA'!#REF!</f>
        <v>#REF!</v>
      </c>
      <c r="D120" s="626"/>
      <c r="E120" s="620" t="e">
        <f>'FORMATO PROPUESTA ECONÓMICA'!#REF!</f>
        <v>#REF!</v>
      </c>
      <c r="F120" s="633" t="s">
        <v>406</v>
      </c>
      <c r="G120" s="639" t="str">
        <f t="shared" si="12"/>
        <v>ml</v>
      </c>
      <c r="H120" s="639">
        <f t="shared" si="18"/>
        <v>0</v>
      </c>
      <c r="I120" s="639">
        <f t="shared" si="19"/>
        <v>0</v>
      </c>
      <c r="J120" s="639">
        <f t="shared" si="20"/>
        <v>0</v>
      </c>
      <c r="K120" s="639" t="e">
        <f>#REF!</f>
        <v>#REF!</v>
      </c>
      <c r="L120" s="639" t="e">
        <f>#REF!</f>
        <v>#REF!</v>
      </c>
      <c r="M120" s="639">
        <f t="shared" si="21"/>
        <v>0</v>
      </c>
      <c r="N120" s="984">
        <f t="shared" si="17"/>
        <v>0</v>
      </c>
      <c r="O120" s="629">
        <v>43240</v>
      </c>
      <c r="P120" s="629">
        <f t="shared" si="11"/>
        <v>0</v>
      </c>
      <c r="Q120" s="24"/>
      <c r="S120" s="1122"/>
    </row>
    <row r="121" spans="2:19" x14ac:dyDescent="0.25">
      <c r="B121" s="1"/>
      <c r="C121" s="618" t="e">
        <f>'FORMATO PROPUESTA ECONÓMICA'!#REF!</f>
        <v>#REF!</v>
      </c>
      <c r="D121" s="626"/>
      <c r="E121" s="620" t="e">
        <f>'FORMATO PROPUESTA ECONÓMICA'!#REF!</f>
        <v>#REF!</v>
      </c>
      <c r="F121" s="633" t="s">
        <v>407</v>
      </c>
      <c r="G121" s="639" t="str">
        <f t="shared" si="12"/>
        <v>ml</v>
      </c>
      <c r="H121" s="639">
        <f t="shared" si="18"/>
        <v>0</v>
      </c>
      <c r="I121" s="639">
        <f t="shared" si="19"/>
        <v>0</v>
      </c>
      <c r="J121" s="639">
        <f t="shared" si="20"/>
        <v>0</v>
      </c>
      <c r="K121" s="639" t="e">
        <f>#REF!</f>
        <v>#REF!</v>
      </c>
      <c r="L121" s="639" t="e">
        <f>#REF!</f>
        <v>#REF!</v>
      </c>
      <c r="M121" s="639">
        <f t="shared" si="21"/>
        <v>0</v>
      </c>
      <c r="N121" s="984">
        <f t="shared" si="17"/>
        <v>1415</v>
      </c>
      <c r="O121" s="629">
        <v>97199</v>
      </c>
      <c r="P121" s="629">
        <f t="shared" si="11"/>
        <v>137536585</v>
      </c>
      <c r="Q121" s="24"/>
      <c r="S121" s="1122"/>
    </row>
    <row r="122" spans="2:19" hidden="1" x14ac:dyDescent="0.25">
      <c r="B122" s="1"/>
      <c r="C122" s="618" t="e">
        <f>'FORMATO PROPUESTA ECONÓMICA'!#REF!</f>
        <v>#REF!</v>
      </c>
      <c r="D122" s="626"/>
      <c r="E122" s="620" t="e">
        <f>'FORMATO PROPUESTA ECONÓMICA'!#REF!</f>
        <v>#REF!</v>
      </c>
      <c r="F122" s="633" t="s">
        <v>379</v>
      </c>
      <c r="G122" s="639" t="str">
        <f t="shared" si="12"/>
        <v>und</v>
      </c>
      <c r="H122" s="639">
        <f t="shared" si="18"/>
        <v>0</v>
      </c>
      <c r="I122" s="639">
        <f t="shared" si="19"/>
        <v>0</v>
      </c>
      <c r="J122" s="639">
        <f t="shared" si="20"/>
        <v>0</v>
      </c>
      <c r="K122" s="639" t="e">
        <f>#REF!</f>
        <v>#REF!</v>
      </c>
      <c r="L122" s="639" t="e">
        <f>#REF!</f>
        <v>#REF!</v>
      </c>
      <c r="M122" s="639">
        <f t="shared" si="21"/>
        <v>0</v>
      </c>
      <c r="N122" s="984">
        <f t="shared" si="17"/>
        <v>0</v>
      </c>
      <c r="O122" s="629">
        <v>39195</v>
      </c>
      <c r="P122" s="629">
        <f t="shared" si="11"/>
        <v>0</v>
      </c>
      <c r="Q122" s="24"/>
      <c r="S122" s="1122"/>
    </row>
    <row r="123" spans="2:19" x14ac:dyDescent="0.25">
      <c r="B123" s="1"/>
      <c r="C123" s="618" t="e">
        <f>'FORMATO PROPUESTA ECONÓMICA'!#REF!</f>
        <v>#REF!</v>
      </c>
      <c r="D123" s="626"/>
      <c r="E123" s="620" t="e">
        <f>'FORMATO PROPUESTA ECONÓMICA'!#REF!</f>
        <v>#REF!</v>
      </c>
      <c r="F123" s="633" t="s">
        <v>380</v>
      </c>
      <c r="G123" s="639" t="str">
        <f t="shared" si="12"/>
        <v>und</v>
      </c>
      <c r="H123" s="639">
        <f t="shared" si="18"/>
        <v>0</v>
      </c>
      <c r="I123" s="639">
        <f t="shared" si="19"/>
        <v>0</v>
      </c>
      <c r="J123" s="639">
        <f t="shared" si="20"/>
        <v>0</v>
      </c>
      <c r="K123" s="639" t="e">
        <f>#REF!</f>
        <v>#REF!</v>
      </c>
      <c r="L123" s="639" t="e">
        <f>#REF!</f>
        <v>#REF!</v>
      </c>
      <c r="M123" s="639">
        <f t="shared" si="21"/>
        <v>0</v>
      </c>
      <c r="N123" s="984">
        <f t="shared" si="17"/>
        <v>64</v>
      </c>
      <c r="O123" s="629">
        <v>47749</v>
      </c>
      <c r="P123" s="629">
        <f t="shared" si="11"/>
        <v>3055936</v>
      </c>
      <c r="Q123" s="24"/>
      <c r="S123" s="1122"/>
    </row>
    <row r="124" spans="2:19" hidden="1" x14ac:dyDescent="0.25">
      <c r="B124" s="1"/>
      <c r="C124" s="618" t="e">
        <f>'FORMATO PROPUESTA ECONÓMICA'!#REF!</f>
        <v>#REF!</v>
      </c>
      <c r="D124" s="626"/>
      <c r="E124" s="620" t="e">
        <f>'FORMATO PROPUESTA ECONÓMICA'!#REF!</f>
        <v>#REF!</v>
      </c>
      <c r="F124" s="633" t="s">
        <v>408</v>
      </c>
      <c r="G124" s="639" t="str">
        <f t="shared" si="12"/>
        <v>und</v>
      </c>
      <c r="H124" s="639">
        <f t="shared" si="18"/>
        <v>0</v>
      </c>
      <c r="I124" s="639">
        <f t="shared" si="19"/>
        <v>0</v>
      </c>
      <c r="J124" s="639">
        <f t="shared" si="20"/>
        <v>0</v>
      </c>
      <c r="K124" s="639" t="e">
        <f>#REF!</f>
        <v>#REF!</v>
      </c>
      <c r="L124" s="639" t="e">
        <f>#REF!</f>
        <v>#REF!</v>
      </c>
      <c r="M124" s="639">
        <f t="shared" si="21"/>
        <v>0</v>
      </c>
      <c r="N124" s="984">
        <f t="shared" si="17"/>
        <v>0</v>
      </c>
      <c r="O124" s="629">
        <v>64172</v>
      </c>
      <c r="P124" s="629">
        <f t="shared" si="11"/>
        <v>0</v>
      </c>
      <c r="Q124" s="24"/>
      <c r="S124" s="1122"/>
    </row>
    <row r="125" spans="2:19" hidden="1" x14ac:dyDescent="0.25">
      <c r="B125" s="1"/>
      <c r="C125" s="618" t="e">
        <f>'FORMATO PROPUESTA ECONÓMICA'!#REF!</f>
        <v>#REF!</v>
      </c>
      <c r="D125" s="626"/>
      <c r="E125" s="620" t="e">
        <f>'FORMATO PROPUESTA ECONÓMICA'!#REF!</f>
        <v>#REF!</v>
      </c>
      <c r="F125" s="633" t="s">
        <v>409</v>
      </c>
      <c r="G125" s="639" t="str">
        <f t="shared" si="12"/>
        <v>und</v>
      </c>
      <c r="H125" s="639">
        <f t="shared" si="18"/>
        <v>0</v>
      </c>
      <c r="I125" s="639">
        <f t="shared" si="19"/>
        <v>0</v>
      </c>
      <c r="J125" s="639">
        <f t="shared" si="20"/>
        <v>0</v>
      </c>
      <c r="K125" s="639" t="e">
        <f>#REF!</f>
        <v>#REF!</v>
      </c>
      <c r="L125" s="639" t="e">
        <f>#REF!</f>
        <v>#REF!</v>
      </c>
      <c r="M125" s="639">
        <f t="shared" si="21"/>
        <v>0</v>
      </c>
      <c r="N125" s="984">
        <f t="shared" si="17"/>
        <v>0</v>
      </c>
      <c r="O125" s="629">
        <v>244662</v>
      </c>
      <c r="P125" s="629">
        <f t="shared" si="11"/>
        <v>0</v>
      </c>
      <c r="Q125" s="24"/>
      <c r="S125" s="1122"/>
    </row>
    <row r="126" spans="2:19" x14ac:dyDescent="0.25">
      <c r="B126" s="1"/>
      <c r="C126" s="618" t="e">
        <f>'FORMATO PROPUESTA ECONÓMICA'!#REF!</f>
        <v>#REF!</v>
      </c>
      <c r="D126" s="626"/>
      <c r="E126" s="620" t="e">
        <f>'FORMATO PROPUESTA ECONÓMICA'!#REF!</f>
        <v>#REF!</v>
      </c>
      <c r="F126" s="633" t="s">
        <v>410</v>
      </c>
      <c r="G126" s="639" t="str">
        <f t="shared" si="12"/>
        <v>und</v>
      </c>
      <c r="H126" s="639">
        <f t="shared" si="18"/>
        <v>0</v>
      </c>
      <c r="I126" s="639">
        <f t="shared" si="19"/>
        <v>0</v>
      </c>
      <c r="J126" s="639">
        <f t="shared" si="20"/>
        <v>0</v>
      </c>
      <c r="K126" s="639" t="e">
        <f>#REF!</f>
        <v>#REF!</v>
      </c>
      <c r="L126" s="639" t="e">
        <f>#REF!</f>
        <v>#REF!</v>
      </c>
      <c r="M126" s="639">
        <f t="shared" si="21"/>
        <v>0</v>
      </c>
      <c r="N126" s="984">
        <f t="shared" si="17"/>
        <v>5</v>
      </c>
      <c r="O126" s="629">
        <v>414183</v>
      </c>
      <c r="P126" s="629">
        <f t="shared" si="11"/>
        <v>2070915</v>
      </c>
      <c r="Q126" s="24"/>
      <c r="S126" s="1122"/>
    </row>
    <row r="127" spans="2:19" hidden="1" x14ac:dyDescent="0.25">
      <c r="B127" s="1"/>
      <c r="C127" s="618" t="e">
        <f>'FORMATO PROPUESTA ECONÓMICA'!#REF!</f>
        <v>#REF!</v>
      </c>
      <c r="D127" s="626"/>
      <c r="E127" s="620" t="e">
        <f>'FORMATO PROPUESTA ECONÓMICA'!#REF!</f>
        <v>#REF!</v>
      </c>
      <c r="F127" s="633" t="s">
        <v>411</v>
      </c>
      <c r="G127" s="639" t="str">
        <f t="shared" si="12"/>
        <v>und</v>
      </c>
      <c r="H127" s="639">
        <f t="shared" si="18"/>
        <v>0</v>
      </c>
      <c r="I127" s="639">
        <f t="shared" si="19"/>
        <v>0</v>
      </c>
      <c r="J127" s="639">
        <f t="shared" si="20"/>
        <v>0</v>
      </c>
      <c r="K127" s="639" t="e">
        <f>#REF!</f>
        <v>#REF!</v>
      </c>
      <c r="L127" s="639" t="e">
        <f>#REF!</f>
        <v>#REF!</v>
      </c>
      <c r="M127" s="639">
        <f t="shared" si="21"/>
        <v>0</v>
      </c>
      <c r="N127" s="984">
        <f t="shared" si="17"/>
        <v>0</v>
      </c>
      <c r="O127" s="629">
        <v>64172</v>
      </c>
      <c r="P127" s="629">
        <f t="shared" si="11"/>
        <v>0</v>
      </c>
      <c r="Q127" s="24"/>
      <c r="S127" s="1122"/>
    </row>
    <row r="128" spans="2:19" hidden="1" x14ac:dyDescent="0.25">
      <c r="B128" s="1"/>
      <c r="C128" s="618">
        <v>708</v>
      </c>
      <c r="D128" s="626"/>
      <c r="E128" s="620" t="e">
        <f>'FORMATO PROPUESTA ECONÓMICA'!#REF!</f>
        <v>#REF!</v>
      </c>
      <c r="F128" s="633" t="s">
        <v>446</v>
      </c>
      <c r="G128" s="639" t="str">
        <f t="shared" si="12"/>
        <v>und</v>
      </c>
      <c r="H128" s="639"/>
      <c r="I128" s="639"/>
      <c r="J128" s="639"/>
      <c r="K128" s="639"/>
      <c r="L128" s="639"/>
      <c r="M128" s="639"/>
      <c r="N128" s="984">
        <f t="shared" si="17"/>
        <v>0</v>
      </c>
      <c r="O128" s="629">
        <v>64172</v>
      </c>
      <c r="P128" s="629">
        <f t="shared" si="11"/>
        <v>0</v>
      </c>
      <c r="Q128" s="24"/>
      <c r="S128" s="1122"/>
    </row>
    <row r="129" spans="2:19" hidden="1" x14ac:dyDescent="0.25">
      <c r="B129" s="1"/>
      <c r="C129" s="618" t="e">
        <f>'FORMATO PROPUESTA ECONÓMICA'!#REF!</f>
        <v>#REF!</v>
      </c>
      <c r="D129" s="626"/>
      <c r="E129" s="620" t="e">
        <f>'FORMATO PROPUESTA ECONÓMICA'!#REF!</f>
        <v>#REF!</v>
      </c>
      <c r="F129" s="633" t="s">
        <v>412</v>
      </c>
      <c r="G129" s="639" t="str">
        <f t="shared" ref="G129:G143" si="22">G47</f>
        <v>und</v>
      </c>
      <c r="H129" s="639">
        <f t="shared" ref="H129:H143" si="23">O47</f>
        <v>0</v>
      </c>
      <c r="I129" s="639">
        <f t="shared" ref="I129:I143" si="24">P47</f>
        <v>0</v>
      </c>
      <c r="J129" s="639">
        <f t="shared" ref="J129:J143" si="25">Q47</f>
        <v>0</v>
      </c>
      <c r="K129" s="639" t="e">
        <f>#REF!</f>
        <v>#REF!</v>
      </c>
      <c r="L129" s="639" t="e">
        <f>#REF!</f>
        <v>#REF!</v>
      </c>
      <c r="M129" s="639">
        <f t="shared" ref="M129:M143" si="26">R47</f>
        <v>0</v>
      </c>
      <c r="N129" s="984">
        <f t="shared" ref="N129:N143" si="27">N47</f>
        <v>0</v>
      </c>
      <c r="O129" s="629">
        <v>39195</v>
      </c>
      <c r="P129" s="629">
        <f t="shared" si="11"/>
        <v>0</v>
      </c>
      <c r="Q129" s="24"/>
      <c r="S129" s="1122"/>
    </row>
    <row r="130" spans="2:19" hidden="1" x14ac:dyDescent="0.25">
      <c r="B130" s="1"/>
      <c r="C130" s="618" t="e">
        <f>'FORMATO PROPUESTA ECONÓMICA'!#REF!</f>
        <v>#REF!</v>
      </c>
      <c r="D130" s="626"/>
      <c r="E130" s="620" t="e">
        <f>'FORMATO PROPUESTA ECONÓMICA'!#REF!</f>
        <v>#REF!</v>
      </c>
      <c r="F130" s="633" t="s">
        <v>413</v>
      </c>
      <c r="G130" s="639" t="str">
        <f t="shared" si="22"/>
        <v>und</v>
      </c>
      <c r="H130" s="639">
        <f t="shared" si="23"/>
        <v>0</v>
      </c>
      <c r="I130" s="639">
        <f t="shared" si="24"/>
        <v>0</v>
      </c>
      <c r="J130" s="639">
        <f t="shared" si="25"/>
        <v>0</v>
      </c>
      <c r="K130" s="639" t="e">
        <f>#REF!</f>
        <v>#REF!</v>
      </c>
      <c r="L130" s="639" t="e">
        <f>#REF!</f>
        <v>#REF!</v>
      </c>
      <c r="M130" s="639">
        <f t="shared" si="26"/>
        <v>0</v>
      </c>
      <c r="N130" s="984">
        <f t="shared" si="27"/>
        <v>0</v>
      </c>
      <c r="O130" s="629">
        <v>35639</v>
      </c>
      <c r="P130" s="629">
        <f t="shared" si="11"/>
        <v>0</v>
      </c>
      <c r="Q130" s="24"/>
      <c r="S130" s="1122"/>
    </row>
    <row r="131" spans="2:19" hidden="1" x14ac:dyDescent="0.25">
      <c r="B131" s="1"/>
      <c r="C131" s="618" t="e">
        <f>'FORMATO PROPUESTA ECONÓMICA'!#REF!</f>
        <v>#REF!</v>
      </c>
      <c r="D131" s="626"/>
      <c r="E131" s="620" t="e">
        <f>'FORMATO PROPUESTA ECONÓMICA'!#REF!</f>
        <v>#REF!</v>
      </c>
      <c r="F131" s="633" t="s">
        <v>414</v>
      </c>
      <c r="G131" s="639" t="str">
        <f t="shared" si="22"/>
        <v>und</v>
      </c>
      <c r="H131" s="639">
        <f t="shared" si="23"/>
        <v>0</v>
      </c>
      <c r="I131" s="639">
        <f t="shared" si="24"/>
        <v>0</v>
      </c>
      <c r="J131" s="639">
        <f t="shared" si="25"/>
        <v>0</v>
      </c>
      <c r="K131" s="639" t="e">
        <f>#REF!</f>
        <v>#REF!</v>
      </c>
      <c r="L131" s="639" t="e">
        <f>#REF!</f>
        <v>#REF!</v>
      </c>
      <c r="M131" s="639">
        <f t="shared" si="26"/>
        <v>0</v>
      </c>
      <c r="N131" s="984">
        <f t="shared" si="27"/>
        <v>0</v>
      </c>
      <c r="O131" s="629">
        <v>38236</v>
      </c>
      <c r="P131" s="629">
        <f t="shared" si="11"/>
        <v>0</v>
      </c>
      <c r="Q131" s="24"/>
      <c r="S131" s="1122"/>
    </row>
    <row r="132" spans="2:19" hidden="1" x14ac:dyDescent="0.25">
      <c r="B132" s="1"/>
      <c r="C132" s="618" t="e">
        <f>'FORMATO PROPUESTA ECONÓMICA'!#REF!</f>
        <v>#REF!</v>
      </c>
      <c r="D132" s="626"/>
      <c r="E132" s="620" t="e">
        <f>'FORMATO PROPUESTA ECONÓMICA'!#REF!</f>
        <v>#REF!</v>
      </c>
      <c r="F132" s="633" t="s">
        <v>415</v>
      </c>
      <c r="G132" s="639" t="str">
        <f t="shared" si="22"/>
        <v>und</v>
      </c>
      <c r="H132" s="639">
        <f t="shared" si="23"/>
        <v>0</v>
      </c>
      <c r="I132" s="639">
        <f t="shared" si="24"/>
        <v>0</v>
      </c>
      <c r="J132" s="639">
        <f t="shared" si="25"/>
        <v>0</v>
      </c>
      <c r="K132" s="639" t="e">
        <f>#REF!</f>
        <v>#REF!</v>
      </c>
      <c r="L132" s="639" t="e">
        <f>#REF!</f>
        <v>#REF!</v>
      </c>
      <c r="M132" s="639">
        <f t="shared" si="26"/>
        <v>0</v>
      </c>
      <c r="N132" s="984">
        <f t="shared" si="27"/>
        <v>0</v>
      </c>
      <c r="O132" s="629">
        <v>46509</v>
      </c>
      <c r="P132" s="629">
        <f t="shared" si="11"/>
        <v>0</v>
      </c>
      <c r="Q132" s="24"/>
      <c r="S132" s="1122"/>
    </row>
    <row r="133" spans="2:19" hidden="1" x14ac:dyDescent="0.25">
      <c r="B133" s="1"/>
      <c r="C133" s="618" t="e">
        <f>'FORMATO PROPUESTA ECONÓMICA'!#REF!</f>
        <v>#REF!</v>
      </c>
      <c r="D133" s="626"/>
      <c r="E133" s="620" t="e">
        <f>'FORMATO PROPUESTA ECONÓMICA'!#REF!</f>
        <v>#REF!</v>
      </c>
      <c r="F133" s="633" t="s">
        <v>416</v>
      </c>
      <c r="G133" s="639" t="str">
        <f t="shared" si="22"/>
        <v>und</v>
      </c>
      <c r="H133" s="639">
        <f t="shared" si="23"/>
        <v>0</v>
      </c>
      <c r="I133" s="639">
        <f t="shared" si="24"/>
        <v>0</v>
      </c>
      <c r="J133" s="639">
        <f t="shared" si="25"/>
        <v>0</v>
      </c>
      <c r="K133" s="639" t="e">
        <f>#REF!</f>
        <v>#REF!</v>
      </c>
      <c r="L133" s="639" t="e">
        <f>#REF!</f>
        <v>#REF!</v>
      </c>
      <c r="M133" s="639">
        <f t="shared" si="26"/>
        <v>0</v>
      </c>
      <c r="N133" s="984">
        <f t="shared" si="27"/>
        <v>0</v>
      </c>
      <c r="O133" s="629">
        <v>35277.919999999998</v>
      </c>
      <c r="P133" s="629">
        <f t="shared" si="11"/>
        <v>0</v>
      </c>
      <c r="Q133" s="24"/>
      <c r="S133" s="1122"/>
    </row>
    <row r="134" spans="2:19" x14ac:dyDescent="0.25">
      <c r="B134" s="1"/>
      <c r="C134" s="618" t="e">
        <f>'FORMATO PROPUESTA ECONÓMICA'!#REF!</f>
        <v>#REF!</v>
      </c>
      <c r="D134" s="626"/>
      <c r="E134" s="620" t="e">
        <f>'FORMATO PROPUESTA ECONÓMICA'!#REF!</f>
        <v>#REF!</v>
      </c>
      <c r="F134" s="633" t="s">
        <v>417</v>
      </c>
      <c r="G134" s="639" t="str">
        <f t="shared" si="22"/>
        <v>und</v>
      </c>
      <c r="H134" s="639">
        <f t="shared" si="23"/>
        <v>0</v>
      </c>
      <c r="I134" s="639">
        <f t="shared" si="24"/>
        <v>0</v>
      </c>
      <c r="J134" s="639">
        <f t="shared" si="25"/>
        <v>0</v>
      </c>
      <c r="K134" s="639" t="e">
        <f>#REF!</f>
        <v>#REF!</v>
      </c>
      <c r="L134" s="639" t="e">
        <f>#REF!</f>
        <v>#REF!</v>
      </c>
      <c r="M134" s="639">
        <f t="shared" si="26"/>
        <v>0</v>
      </c>
      <c r="N134" s="984">
        <f t="shared" si="27"/>
        <v>10</v>
      </c>
      <c r="O134" s="629">
        <v>37681</v>
      </c>
      <c r="P134" s="629">
        <f t="shared" si="11"/>
        <v>376810</v>
      </c>
      <c r="Q134" s="24"/>
      <c r="S134" s="1122"/>
    </row>
    <row r="135" spans="2:19" hidden="1" x14ac:dyDescent="0.25">
      <c r="B135" s="1"/>
      <c r="C135" s="618" t="e">
        <f>'FORMATO PROPUESTA ECONÓMICA'!#REF!</f>
        <v>#REF!</v>
      </c>
      <c r="D135" s="626"/>
      <c r="E135" s="620" t="e">
        <f>'FORMATO PROPUESTA ECONÓMICA'!#REF!</f>
        <v>#REF!</v>
      </c>
      <c r="F135" s="633" t="s">
        <v>393</v>
      </c>
      <c r="G135" s="639" t="str">
        <f t="shared" si="22"/>
        <v>und</v>
      </c>
      <c r="H135" s="639">
        <f t="shared" si="23"/>
        <v>0</v>
      </c>
      <c r="I135" s="639">
        <f t="shared" si="24"/>
        <v>0</v>
      </c>
      <c r="J135" s="639">
        <f t="shared" si="25"/>
        <v>0</v>
      </c>
      <c r="K135" s="639" t="e">
        <f>#REF!</f>
        <v>#REF!</v>
      </c>
      <c r="L135" s="639" t="e">
        <f>#REF!</f>
        <v>#REF!</v>
      </c>
      <c r="M135" s="639">
        <f t="shared" si="26"/>
        <v>0</v>
      </c>
      <c r="N135" s="984">
        <f t="shared" si="27"/>
        <v>0</v>
      </c>
      <c r="O135" s="629">
        <v>39675</v>
      </c>
      <c r="P135" s="629">
        <f t="shared" si="11"/>
        <v>0</v>
      </c>
      <c r="Q135" s="24"/>
      <c r="S135" s="1122"/>
    </row>
    <row r="136" spans="2:19" hidden="1" x14ac:dyDescent="0.25">
      <c r="B136" s="1"/>
      <c r="C136" s="618" t="e">
        <f>'FORMATO PROPUESTA ECONÓMICA'!#REF!</f>
        <v>#REF!</v>
      </c>
      <c r="D136" s="626"/>
      <c r="E136" s="620" t="e">
        <f>'FORMATO PROPUESTA ECONÓMICA'!#REF!</f>
        <v>#REF!</v>
      </c>
      <c r="F136" s="633" t="s">
        <v>394</v>
      </c>
      <c r="G136" s="639" t="str">
        <f t="shared" si="22"/>
        <v>und</v>
      </c>
      <c r="H136" s="639">
        <f t="shared" si="23"/>
        <v>0</v>
      </c>
      <c r="I136" s="639">
        <f t="shared" si="24"/>
        <v>0</v>
      </c>
      <c r="J136" s="639">
        <f t="shared" si="25"/>
        <v>0</v>
      </c>
      <c r="K136" s="639" t="e">
        <f>#REF!</f>
        <v>#REF!</v>
      </c>
      <c r="L136" s="639" t="e">
        <f>#REF!</f>
        <v>#REF!</v>
      </c>
      <c r="M136" s="639">
        <f t="shared" si="26"/>
        <v>0</v>
      </c>
      <c r="N136" s="984">
        <f t="shared" si="27"/>
        <v>0</v>
      </c>
      <c r="O136" s="629">
        <v>50625</v>
      </c>
      <c r="P136" s="629">
        <f t="shared" si="11"/>
        <v>0</v>
      </c>
      <c r="Q136" s="24"/>
      <c r="S136" s="1122"/>
    </row>
    <row r="137" spans="2:19" x14ac:dyDescent="0.25">
      <c r="B137" s="1"/>
      <c r="C137" s="618" t="e">
        <f>'FORMATO PROPUESTA ECONÓMICA'!#REF!</f>
        <v>#REF!</v>
      </c>
      <c r="D137" s="626"/>
      <c r="E137" s="620" t="e">
        <f>'FORMATO PROPUESTA ECONÓMICA'!#REF!</f>
        <v>#REF!</v>
      </c>
      <c r="F137" s="633" t="s">
        <v>395</v>
      </c>
      <c r="G137" s="639" t="str">
        <f t="shared" si="22"/>
        <v>und</v>
      </c>
      <c r="H137" s="639">
        <f t="shared" si="23"/>
        <v>0</v>
      </c>
      <c r="I137" s="639">
        <f t="shared" si="24"/>
        <v>0</v>
      </c>
      <c r="J137" s="639">
        <f t="shared" si="25"/>
        <v>0</v>
      </c>
      <c r="K137" s="639" t="e">
        <f>#REF!</f>
        <v>#REF!</v>
      </c>
      <c r="L137" s="639" t="e">
        <f>#REF!</f>
        <v>#REF!</v>
      </c>
      <c r="M137" s="639">
        <f t="shared" si="26"/>
        <v>0</v>
      </c>
      <c r="N137" s="984">
        <f t="shared" si="27"/>
        <v>2</v>
      </c>
      <c r="O137" s="629">
        <v>134189</v>
      </c>
      <c r="P137" s="629">
        <f t="shared" si="11"/>
        <v>268378</v>
      </c>
      <c r="Q137" s="24"/>
      <c r="S137" s="1122"/>
    </row>
    <row r="138" spans="2:19" hidden="1" x14ac:dyDescent="0.25">
      <c r="B138" s="1"/>
      <c r="C138" s="618" t="e">
        <f>'FORMATO PROPUESTA ECONÓMICA'!#REF!</f>
        <v>#REF!</v>
      </c>
      <c r="D138" s="626"/>
      <c r="E138" s="620" t="e">
        <f>'FORMATO PROPUESTA ECONÓMICA'!#REF!</f>
        <v>#REF!</v>
      </c>
      <c r="F138" s="633" t="s">
        <v>396</v>
      </c>
      <c r="G138" s="639" t="str">
        <f t="shared" si="22"/>
        <v>und</v>
      </c>
      <c r="H138" s="639">
        <f t="shared" si="23"/>
        <v>0</v>
      </c>
      <c r="I138" s="639">
        <f t="shared" si="24"/>
        <v>0</v>
      </c>
      <c r="J138" s="639">
        <f t="shared" si="25"/>
        <v>0</v>
      </c>
      <c r="K138" s="639" t="e">
        <f>#REF!</f>
        <v>#REF!</v>
      </c>
      <c r="L138" s="639" t="e">
        <f>#REF!</f>
        <v>#REF!</v>
      </c>
      <c r="M138" s="639">
        <f t="shared" si="26"/>
        <v>0</v>
      </c>
      <c r="N138" s="984">
        <f t="shared" si="27"/>
        <v>0</v>
      </c>
      <c r="O138" s="629">
        <v>134189</v>
      </c>
      <c r="P138" s="629">
        <f t="shared" si="11"/>
        <v>0</v>
      </c>
      <c r="Q138" s="24"/>
      <c r="S138" s="1122"/>
    </row>
    <row r="139" spans="2:19" hidden="1" x14ac:dyDescent="0.25">
      <c r="B139" s="1"/>
      <c r="C139" s="618" t="e">
        <f>'FORMATO PROPUESTA ECONÓMICA'!#REF!</f>
        <v>#REF!</v>
      </c>
      <c r="D139" s="626"/>
      <c r="E139" s="620" t="e">
        <f>'FORMATO PROPUESTA ECONÓMICA'!#REF!</f>
        <v>#REF!</v>
      </c>
      <c r="F139" s="633" t="s">
        <v>418</v>
      </c>
      <c r="G139" s="639" t="str">
        <f t="shared" si="22"/>
        <v>und</v>
      </c>
      <c r="H139" s="639">
        <f t="shared" si="23"/>
        <v>0</v>
      </c>
      <c r="I139" s="639">
        <f t="shared" si="24"/>
        <v>0</v>
      </c>
      <c r="J139" s="639">
        <f t="shared" si="25"/>
        <v>0</v>
      </c>
      <c r="K139" s="639" t="e">
        <f>#REF!</f>
        <v>#REF!</v>
      </c>
      <c r="L139" s="639" t="e">
        <f>#REF!</f>
        <v>#REF!</v>
      </c>
      <c r="M139" s="639">
        <f t="shared" si="26"/>
        <v>0</v>
      </c>
      <c r="N139" s="984">
        <f t="shared" si="27"/>
        <v>0</v>
      </c>
      <c r="O139" s="629">
        <v>29369</v>
      </c>
      <c r="P139" s="629">
        <f t="shared" si="11"/>
        <v>0</v>
      </c>
      <c r="Q139" s="24"/>
      <c r="S139" s="1122"/>
    </row>
    <row r="140" spans="2:19" x14ac:dyDescent="0.25">
      <c r="B140" s="1"/>
      <c r="C140" s="618" t="e">
        <f>'FORMATO PROPUESTA ECONÓMICA'!#REF!</f>
        <v>#REF!</v>
      </c>
      <c r="D140" s="626"/>
      <c r="E140" s="620" t="e">
        <f>'FORMATO PROPUESTA ECONÓMICA'!#REF!</f>
        <v>#REF!</v>
      </c>
      <c r="F140" s="633" t="s">
        <v>419</v>
      </c>
      <c r="G140" s="639" t="str">
        <f t="shared" si="22"/>
        <v>und</v>
      </c>
      <c r="H140" s="639">
        <f t="shared" si="23"/>
        <v>0</v>
      </c>
      <c r="I140" s="639">
        <f t="shared" si="24"/>
        <v>0</v>
      </c>
      <c r="J140" s="639">
        <f t="shared" si="25"/>
        <v>0</v>
      </c>
      <c r="K140" s="639" t="e">
        <f>#REF!</f>
        <v>#REF!</v>
      </c>
      <c r="L140" s="639" t="e">
        <f>#REF!</f>
        <v>#REF!</v>
      </c>
      <c r="M140" s="639">
        <f t="shared" si="26"/>
        <v>0</v>
      </c>
      <c r="N140" s="984">
        <f t="shared" si="27"/>
        <v>14</v>
      </c>
      <c r="O140" s="629">
        <v>19705</v>
      </c>
      <c r="P140" s="629">
        <f t="shared" si="11"/>
        <v>275870</v>
      </c>
      <c r="Q140" s="24"/>
      <c r="S140" s="1122"/>
    </row>
    <row r="141" spans="2:19" hidden="1" x14ac:dyDescent="0.25">
      <c r="B141" s="1"/>
      <c r="C141" s="618" t="e">
        <f>'FORMATO PROPUESTA ECONÓMICA'!#REF!</f>
        <v>#REF!</v>
      </c>
      <c r="D141" s="626"/>
      <c r="E141" s="620" t="e">
        <f>'FORMATO PROPUESTA ECONÓMICA'!#REF!</f>
        <v>#REF!</v>
      </c>
      <c r="F141" s="633" t="s">
        <v>420</v>
      </c>
      <c r="G141" s="639" t="str">
        <f t="shared" si="22"/>
        <v>und</v>
      </c>
      <c r="H141" s="639">
        <f t="shared" si="23"/>
        <v>0</v>
      </c>
      <c r="I141" s="639">
        <f t="shared" si="24"/>
        <v>0</v>
      </c>
      <c r="J141" s="639">
        <f t="shared" si="25"/>
        <v>0</v>
      </c>
      <c r="K141" s="639" t="e">
        <f>#REF!</f>
        <v>#REF!</v>
      </c>
      <c r="L141" s="639" t="e">
        <f>#REF!</f>
        <v>#REF!</v>
      </c>
      <c r="M141" s="639">
        <f t="shared" si="26"/>
        <v>0</v>
      </c>
      <c r="N141" s="984">
        <f t="shared" si="27"/>
        <v>0</v>
      </c>
      <c r="O141" s="629">
        <v>24443</v>
      </c>
      <c r="P141" s="629">
        <f t="shared" si="11"/>
        <v>0</v>
      </c>
      <c r="Q141" s="24"/>
      <c r="S141" s="1122"/>
    </row>
    <row r="142" spans="2:19" hidden="1" x14ac:dyDescent="0.25">
      <c r="B142" s="1" t="str">
        <f>+'[3]4.Secundarias B_El Bosque'!C61</f>
        <v>Tubería PE Øint. 327.8mm</v>
      </c>
      <c r="C142" s="618" t="e">
        <f>'FORMATO PROPUESTA ECONÓMICA'!#REF!</f>
        <v>#REF!</v>
      </c>
      <c r="D142" s="626"/>
      <c r="E142" s="620" t="e">
        <f>'FORMATO PROPUESTA ECONÓMICA'!#REF!</f>
        <v>#REF!</v>
      </c>
      <c r="F142" s="633" t="s">
        <v>421</v>
      </c>
      <c r="G142" s="639" t="str">
        <f t="shared" si="22"/>
        <v>und</v>
      </c>
      <c r="H142" s="639">
        <f t="shared" si="23"/>
        <v>0</v>
      </c>
      <c r="I142" s="639">
        <f t="shared" si="24"/>
        <v>0</v>
      </c>
      <c r="J142" s="639">
        <f t="shared" si="25"/>
        <v>0</v>
      </c>
      <c r="K142" s="639" t="e">
        <f>#REF!</f>
        <v>#REF!</v>
      </c>
      <c r="L142" s="639" t="e">
        <f>#REF!</f>
        <v>#REF!</v>
      </c>
      <c r="M142" s="639">
        <f t="shared" si="26"/>
        <v>0</v>
      </c>
      <c r="N142" s="984">
        <f t="shared" si="27"/>
        <v>0</v>
      </c>
      <c r="O142" s="629">
        <v>56681</v>
      </c>
      <c r="P142" s="629">
        <f t="shared" si="11"/>
        <v>0</v>
      </c>
      <c r="Q142" s="24"/>
      <c r="S142" s="1122"/>
    </row>
    <row r="143" spans="2:19" x14ac:dyDescent="0.25">
      <c r="B143" s="1" t="str">
        <f>+'[3]1. Colector Principal'!C68</f>
        <v>Tubería PE Øint. 415.6mm</v>
      </c>
      <c r="C143" s="618" t="e">
        <f>'FORMATO PROPUESTA ECONÓMICA'!#REF!</f>
        <v>#REF!</v>
      </c>
      <c r="D143" s="626"/>
      <c r="E143" s="620" t="e">
        <f>'FORMATO PROPUESTA ECONÓMICA'!#REF!</f>
        <v>#REF!</v>
      </c>
      <c r="F143" s="633" t="s">
        <v>422</v>
      </c>
      <c r="G143" s="639" t="str">
        <f t="shared" si="22"/>
        <v>und</v>
      </c>
      <c r="H143" s="639">
        <f t="shared" si="23"/>
        <v>0</v>
      </c>
      <c r="I143" s="639">
        <f t="shared" si="24"/>
        <v>0</v>
      </c>
      <c r="J143" s="639">
        <f t="shared" si="25"/>
        <v>0</v>
      </c>
      <c r="K143" s="639" t="e">
        <f>#REF!</f>
        <v>#REF!</v>
      </c>
      <c r="L143" s="639" t="e">
        <f>#REF!</f>
        <v>#REF!</v>
      </c>
      <c r="M143" s="639">
        <f t="shared" si="26"/>
        <v>0</v>
      </c>
      <c r="N143" s="984">
        <f t="shared" si="27"/>
        <v>8</v>
      </c>
      <c r="O143" s="629">
        <v>110957</v>
      </c>
      <c r="P143" s="629">
        <f t="shared" si="11"/>
        <v>887656</v>
      </c>
      <c r="Q143" s="24"/>
      <c r="S143" s="1122"/>
    </row>
    <row r="144" spans="2:19" ht="90" x14ac:dyDescent="0.25">
      <c r="B144" s="1" t="str">
        <f>+'[3]5.Domiciliarias Colector La Yuq'!C35</f>
        <v>Suministro, transporte y colocacion de kit domiciliario en PE, incluye empaque, codo de 45° y espigo, en los siguientes diametros:</v>
      </c>
      <c r="C144" s="708" t="e">
        <f>'FORMATO PROPUESTA ECONÓMICA'!#REF!</f>
        <v>#REF!</v>
      </c>
      <c r="D144" s="37"/>
      <c r="E144" s="721" t="e">
        <f>'FORMATO PROPUESTA ECONÓMICA'!#REF!</f>
        <v>#REF!</v>
      </c>
      <c r="F144" s="43" t="s">
        <v>423</v>
      </c>
      <c r="G144" s="43"/>
      <c r="H144" s="43" t="s">
        <v>435</v>
      </c>
      <c r="I144" s="43" t="s">
        <v>436</v>
      </c>
      <c r="J144" s="43" t="s">
        <v>437</v>
      </c>
      <c r="K144" s="43" t="s">
        <v>438</v>
      </c>
      <c r="L144" s="43" t="s">
        <v>439</v>
      </c>
      <c r="M144" s="43" t="s">
        <v>440</v>
      </c>
      <c r="N144" s="960"/>
      <c r="O144" s="39"/>
      <c r="P144" s="39"/>
      <c r="Q144" s="24"/>
      <c r="S144" s="1122"/>
    </row>
    <row r="145" spans="2:19" ht="30" x14ac:dyDescent="0.25">
      <c r="B145" s="1" t="str">
        <f>+'[3]6.Domiciliarias B_Obrero'!C33</f>
        <v>184.6 mm x 147.7 mm</v>
      </c>
      <c r="C145" s="618" t="e">
        <f>'FORMATO PROPUESTA ECONÓMICA'!#REF!</f>
        <v>#REF!</v>
      </c>
      <c r="D145" s="626"/>
      <c r="E145" s="620" t="e">
        <f>'FORMATO PROPUESTA ECONÓMICA'!#REF!</f>
        <v>#REF!</v>
      </c>
      <c r="F145" s="633" t="s">
        <v>402</v>
      </c>
      <c r="G145" s="628" t="str">
        <f>G65</f>
        <v>ml</v>
      </c>
      <c r="H145" s="628">
        <f t="shared" ref="H145:N145" si="28">H65</f>
        <v>0</v>
      </c>
      <c r="I145" s="628">
        <f t="shared" si="28"/>
        <v>0</v>
      </c>
      <c r="J145" s="628">
        <f t="shared" si="28"/>
        <v>1.0000004147351824</v>
      </c>
      <c r="K145" s="628">
        <f t="shared" si="28"/>
        <v>0</v>
      </c>
      <c r="L145" s="628">
        <f t="shared" si="28"/>
        <v>0</v>
      </c>
      <c r="M145" s="628">
        <f t="shared" si="28"/>
        <v>0</v>
      </c>
      <c r="N145" s="913">
        <f t="shared" si="28"/>
        <v>4080</v>
      </c>
      <c r="O145" s="629">
        <v>2433.6799999999998</v>
      </c>
      <c r="P145" s="629">
        <f t="shared" ref="P145:P160" si="29">IF(ISERROR(+N145*O145),"",+N145*O145)</f>
        <v>9929414.3999999985</v>
      </c>
      <c r="Q145" s="24"/>
      <c r="S145" s="1122"/>
    </row>
    <row r="146" spans="2:19" ht="30" hidden="1" x14ac:dyDescent="0.25">
      <c r="B146" s="1" t="str">
        <f>+'[3]5.Domiciliarias Colector La Yuq'!C36</f>
        <v>230.8 mm x 147.7 mm</v>
      </c>
      <c r="C146" s="618" t="e">
        <f>'FORMATO PROPUESTA ECONÓMICA'!#REF!</f>
        <v>#REF!</v>
      </c>
      <c r="D146" s="626"/>
      <c r="E146" s="620" t="e">
        <f>'FORMATO PROPUESTA ECONÓMICA'!#REF!</f>
        <v>#REF!</v>
      </c>
      <c r="F146" s="633" t="s">
        <v>403</v>
      </c>
      <c r="G146" s="628" t="str">
        <f t="shared" ref="G146:N146" si="30">G66</f>
        <v>ml</v>
      </c>
      <c r="H146" s="628">
        <f t="shared" si="30"/>
        <v>0</v>
      </c>
      <c r="I146" s="628">
        <f t="shared" si="30"/>
        <v>0</v>
      </c>
      <c r="J146" s="628">
        <f t="shared" si="30"/>
        <v>0.99999988060184275</v>
      </c>
      <c r="K146" s="628">
        <f t="shared" si="30"/>
        <v>0</v>
      </c>
      <c r="L146" s="628">
        <f t="shared" si="30"/>
        <v>0</v>
      </c>
      <c r="M146" s="628">
        <f t="shared" si="30"/>
        <v>0</v>
      </c>
      <c r="N146" s="913">
        <f t="shared" si="30"/>
        <v>0</v>
      </c>
      <c r="O146" s="629">
        <v>3778.12</v>
      </c>
      <c r="P146" s="629">
        <f t="shared" si="29"/>
        <v>0</v>
      </c>
      <c r="Q146" s="24"/>
      <c r="S146" s="1122"/>
    </row>
    <row r="147" spans="2:19" hidden="1" x14ac:dyDescent="0.25">
      <c r="B147" s="1" t="str">
        <f>+'[3]5.Domiciliarias Colector La Yuq'!C37</f>
        <v>290.8 mm x 147.7 mm</v>
      </c>
      <c r="C147" s="618" t="e">
        <f>'FORMATO PROPUESTA ECONÓMICA'!#REF!</f>
        <v>#REF!</v>
      </c>
      <c r="D147" s="626"/>
      <c r="E147" s="620" t="e">
        <f>'FORMATO PROPUESTA ECONÓMICA'!#REF!</f>
        <v>#REF!</v>
      </c>
      <c r="F147" s="633" t="s">
        <v>424</v>
      </c>
      <c r="G147" s="628" t="str">
        <f t="shared" ref="G147:N147" si="31">G67</f>
        <v>und</v>
      </c>
      <c r="H147" s="628">
        <f t="shared" si="31"/>
        <v>0</v>
      </c>
      <c r="I147" s="628">
        <f t="shared" si="31"/>
        <v>0</v>
      </c>
      <c r="J147" s="628">
        <f t="shared" si="31"/>
        <v>0</v>
      </c>
      <c r="K147" s="628">
        <f t="shared" si="31"/>
        <v>0</v>
      </c>
      <c r="L147" s="628">
        <f t="shared" si="31"/>
        <v>0</v>
      </c>
      <c r="M147" s="628">
        <f t="shared" si="31"/>
        <v>0</v>
      </c>
      <c r="N147" s="913">
        <f t="shared" si="31"/>
        <v>0</v>
      </c>
      <c r="O147" s="629">
        <v>14618</v>
      </c>
      <c r="P147" s="629">
        <f t="shared" si="29"/>
        <v>0</v>
      </c>
      <c r="Q147" s="24"/>
      <c r="S147" s="1122"/>
    </row>
    <row r="148" spans="2:19" hidden="1" x14ac:dyDescent="0.25">
      <c r="B148" s="1" t="str">
        <f>+'[3]8.Domiciliarias B_El Bosque'!C37</f>
        <v>327.8 mm x 147.7 mm</v>
      </c>
      <c r="C148" s="618" t="e">
        <f>'FORMATO PROPUESTA ECONÓMICA'!#REF!</f>
        <v>#REF!</v>
      </c>
      <c r="D148" s="626"/>
      <c r="E148" s="620" t="e">
        <f>'FORMATO PROPUESTA ECONÓMICA'!#REF!</f>
        <v>#REF!</v>
      </c>
      <c r="F148" s="633" t="s">
        <v>426</v>
      </c>
      <c r="G148" s="628" t="str">
        <f t="shared" ref="G148:N148" si="32">G68</f>
        <v>und</v>
      </c>
      <c r="H148" s="628">
        <f t="shared" si="32"/>
        <v>0</v>
      </c>
      <c r="I148" s="628">
        <f t="shared" si="32"/>
        <v>0</v>
      </c>
      <c r="J148" s="628">
        <f t="shared" si="32"/>
        <v>0</v>
      </c>
      <c r="K148" s="628">
        <f t="shared" si="32"/>
        <v>0</v>
      </c>
      <c r="L148" s="628">
        <f t="shared" si="32"/>
        <v>0</v>
      </c>
      <c r="M148" s="628">
        <f t="shared" si="32"/>
        <v>0</v>
      </c>
      <c r="N148" s="913">
        <f t="shared" si="32"/>
        <v>0</v>
      </c>
      <c r="O148" s="629">
        <v>14618</v>
      </c>
      <c r="P148" s="629">
        <f t="shared" si="29"/>
        <v>0</v>
      </c>
      <c r="Q148" s="24"/>
      <c r="S148" s="1122"/>
    </row>
    <row r="149" spans="2:19" x14ac:dyDescent="0.25">
      <c r="B149" s="1"/>
      <c r="C149" s="618" t="e">
        <f>'FORMATO PROPUESTA ECONÓMICA'!#REF!</f>
        <v>#REF!</v>
      </c>
      <c r="D149" s="626"/>
      <c r="E149" s="620" t="e">
        <f>'FORMATO PROPUESTA ECONÓMICA'!#REF!</f>
        <v>#REF!</v>
      </c>
      <c r="F149" s="633" t="s">
        <v>425</v>
      </c>
      <c r="G149" s="628" t="str">
        <f t="shared" ref="G149:N149" si="33">G69</f>
        <v>und</v>
      </c>
      <c r="H149" s="628">
        <f t="shared" si="33"/>
        <v>0</v>
      </c>
      <c r="I149" s="628">
        <f t="shared" si="33"/>
        <v>0</v>
      </c>
      <c r="J149" s="628">
        <f t="shared" si="33"/>
        <v>0</v>
      </c>
      <c r="K149" s="628">
        <f t="shared" si="33"/>
        <v>0</v>
      </c>
      <c r="L149" s="628">
        <f t="shared" si="33"/>
        <v>0</v>
      </c>
      <c r="M149" s="628">
        <f t="shared" si="33"/>
        <v>0</v>
      </c>
      <c r="N149" s="913">
        <f t="shared" si="33"/>
        <v>690</v>
      </c>
      <c r="O149" s="629">
        <v>14618</v>
      </c>
      <c r="P149" s="629">
        <f t="shared" si="29"/>
        <v>10086420</v>
      </c>
      <c r="Q149" s="24"/>
      <c r="S149" s="1122"/>
    </row>
    <row r="150" spans="2:19" hidden="1" x14ac:dyDescent="0.25">
      <c r="B150" s="1"/>
      <c r="C150" s="618" t="e">
        <f>'FORMATO PROPUESTA ECONÓMICA'!#REF!</f>
        <v>#REF!</v>
      </c>
      <c r="D150" s="626"/>
      <c r="E150" s="620" t="e">
        <f>'FORMATO PROPUESTA ECONÓMICA'!#REF!</f>
        <v>#REF!</v>
      </c>
      <c r="F150" s="633" t="s">
        <v>427</v>
      </c>
      <c r="G150" s="628" t="str">
        <f t="shared" ref="G150:N150" si="34">G70</f>
        <v>und</v>
      </c>
      <c r="H150" s="628">
        <f t="shared" si="34"/>
        <v>0</v>
      </c>
      <c r="I150" s="628">
        <f t="shared" si="34"/>
        <v>0</v>
      </c>
      <c r="J150" s="628">
        <f t="shared" si="34"/>
        <v>0</v>
      </c>
      <c r="K150" s="628">
        <f t="shared" si="34"/>
        <v>0</v>
      </c>
      <c r="L150" s="628">
        <f t="shared" si="34"/>
        <v>0</v>
      </c>
      <c r="M150" s="628">
        <f t="shared" si="34"/>
        <v>0</v>
      </c>
      <c r="N150" s="913">
        <f t="shared" si="34"/>
        <v>0</v>
      </c>
      <c r="O150" s="629">
        <v>14618</v>
      </c>
      <c r="P150" s="629">
        <f t="shared" si="29"/>
        <v>0</v>
      </c>
      <c r="Q150" s="24"/>
      <c r="S150" s="1122"/>
    </row>
    <row r="151" spans="2:19" hidden="1" x14ac:dyDescent="0.25">
      <c r="B151" s="1"/>
      <c r="C151" s="618" t="e">
        <f>'FORMATO PROPUESTA ECONÓMICA'!#REF!</f>
        <v>#REF!</v>
      </c>
      <c r="D151" s="626"/>
      <c r="E151" s="620" t="e">
        <f>'FORMATO PROPUESTA ECONÓMICA'!#REF!</f>
        <v>#REF!</v>
      </c>
      <c r="F151" s="633" t="s">
        <v>428</v>
      </c>
      <c r="G151" s="628" t="str">
        <f t="shared" ref="G151:N151" si="35">G71</f>
        <v>und</v>
      </c>
      <c r="H151" s="628">
        <f t="shared" si="35"/>
        <v>0</v>
      </c>
      <c r="I151" s="628">
        <f t="shared" si="35"/>
        <v>0</v>
      </c>
      <c r="J151" s="628">
        <f t="shared" si="35"/>
        <v>0</v>
      </c>
      <c r="K151" s="628">
        <f t="shared" si="35"/>
        <v>0</v>
      </c>
      <c r="L151" s="628">
        <f t="shared" si="35"/>
        <v>0</v>
      </c>
      <c r="M151" s="628">
        <f t="shared" si="35"/>
        <v>0</v>
      </c>
      <c r="N151" s="913">
        <f t="shared" si="35"/>
        <v>0</v>
      </c>
      <c r="O151" s="629">
        <v>14618</v>
      </c>
      <c r="P151" s="629">
        <f t="shared" si="29"/>
        <v>0</v>
      </c>
      <c r="Q151" s="24"/>
      <c r="S151" s="1122"/>
    </row>
    <row r="152" spans="2:19" x14ac:dyDescent="0.25">
      <c r="B152" s="1"/>
      <c r="C152" s="618" t="e">
        <f>'FORMATO PROPUESTA ECONÓMICA'!#REF!</f>
        <v>#REF!</v>
      </c>
      <c r="D152" s="626"/>
      <c r="E152" s="620" t="e">
        <f>'FORMATO PROPUESTA ECONÓMICA'!#REF!</f>
        <v>#REF!</v>
      </c>
      <c r="F152" s="633" t="s">
        <v>477</v>
      </c>
      <c r="G152" s="628" t="str">
        <f t="shared" ref="G152:M152" si="36">G72</f>
        <v>und</v>
      </c>
      <c r="H152" s="628">
        <f t="shared" si="36"/>
        <v>0</v>
      </c>
      <c r="I152" s="628">
        <f t="shared" si="36"/>
        <v>0</v>
      </c>
      <c r="J152" s="628">
        <f t="shared" si="36"/>
        <v>0</v>
      </c>
      <c r="K152" s="628">
        <f t="shared" si="36"/>
        <v>0</v>
      </c>
      <c r="L152" s="628">
        <f t="shared" si="36"/>
        <v>0</v>
      </c>
      <c r="M152" s="628">
        <f t="shared" si="36"/>
        <v>0</v>
      </c>
      <c r="N152" s="1010">
        <f>N72/2</f>
        <v>345</v>
      </c>
      <c r="O152" s="629">
        <v>3996</v>
      </c>
      <c r="P152" s="629">
        <f t="shared" si="29"/>
        <v>1378620</v>
      </c>
      <c r="Q152" s="24"/>
      <c r="S152" s="1122"/>
    </row>
    <row r="153" spans="2:19" hidden="1" x14ac:dyDescent="0.25">
      <c r="B153" s="1"/>
      <c r="C153" s="618" t="e">
        <f>'FORMATO PROPUESTA ECONÓMICA'!#REF!</f>
        <v>#REF!</v>
      </c>
      <c r="D153" s="626"/>
      <c r="E153" s="620" t="e">
        <f>'FORMATO PROPUESTA ECONÓMICA'!#REF!</f>
        <v>#REF!</v>
      </c>
      <c r="F153" s="633" t="s">
        <v>343</v>
      </c>
      <c r="G153" s="628" t="str">
        <f t="shared" ref="G153:N153" si="37">G73</f>
        <v>und</v>
      </c>
      <c r="H153" s="628">
        <f t="shared" si="37"/>
        <v>0</v>
      </c>
      <c r="I153" s="628">
        <f t="shared" si="37"/>
        <v>0</v>
      </c>
      <c r="J153" s="628">
        <f t="shared" si="37"/>
        <v>1</v>
      </c>
      <c r="K153" s="628">
        <f t="shared" si="37"/>
        <v>0</v>
      </c>
      <c r="L153" s="628">
        <f t="shared" si="37"/>
        <v>0</v>
      </c>
      <c r="M153" s="628">
        <f t="shared" si="37"/>
        <v>0</v>
      </c>
      <c r="N153" s="913">
        <f t="shared" si="37"/>
        <v>0</v>
      </c>
      <c r="O153" s="629">
        <v>5316</v>
      </c>
      <c r="P153" s="629">
        <f t="shared" si="29"/>
        <v>0</v>
      </c>
      <c r="Q153" s="24"/>
      <c r="S153" s="1122"/>
    </row>
    <row r="154" spans="2:19" x14ac:dyDescent="0.25">
      <c r="B154" s="1"/>
      <c r="C154" s="618" t="e">
        <f>'FORMATO PROPUESTA ECONÓMICA'!#REF!</f>
        <v>#REF!</v>
      </c>
      <c r="D154" s="626"/>
      <c r="E154" s="620" t="e">
        <f>'FORMATO PROPUESTA ECONÓMICA'!#REF!</f>
        <v>#REF!</v>
      </c>
      <c r="F154" s="633" t="s">
        <v>478</v>
      </c>
      <c r="G154" s="628" t="s">
        <v>79</v>
      </c>
      <c r="H154" s="628"/>
      <c r="I154" s="628"/>
      <c r="J154" s="628"/>
      <c r="K154" s="628"/>
      <c r="L154" s="628"/>
      <c r="M154" s="628"/>
      <c r="N154" s="1010">
        <f>N72/2</f>
        <v>345</v>
      </c>
      <c r="O154" s="629">
        <v>3996</v>
      </c>
      <c r="P154" s="629">
        <f t="shared" si="29"/>
        <v>1378620</v>
      </c>
      <c r="Q154" s="24"/>
      <c r="S154" s="1122"/>
    </row>
    <row r="155" spans="2:19" x14ac:dyDescent="0.25">
      <c r="B155" s="1"/>
      <c r="C155" s="618" t="e">
        <f>'FORMATO PROPUESTA ECONÓMICA'!#REF!</f>
        <v>#REF!</v>
      </c>
      <c r="D155" s="626"/>
      <c r="E155" s="620" t="e">
        <f>'FORMATO PROPUESTA ECONÓMICA'!#REF!</f>
        <v>#REF!</v>
      </c>
      <c r="F155" s="633" t="s">
        <v>344</v>
      </c>
      <c r="G155" s="628" t="str">
        <f t="shared" ref="G155:N155" si="38">G74</f>
        <v>und</v>
      </c>
      <c r="H155" s="628">
        <f t="shared" si="38"/>
        <v>0</v>
      </c>
      <c r="I155" s="628">
        <f t="shared" si="38"/>
        <v>0</v>
      </c>
      <c r="J155" s="628">
        <f t="shared" si="38"/>
        <v>1.0000039227956519</v>
      </c>
      <c r="K155" s="628">
        <f t="shared" si="38"/>
        <v>0</v>
      </c>
      <c r="L155" s="628">
        <f t="shared" si="38"/>
        <v>0</v>
      </c>
      <c r="M155" s="628">
        <f t="shared" si="38"/>
        <v>0</v>
      </c>
      <c r="N155" s="913">
        <f t="shared" si="38"/>
        <v>45</v>
      </c>
      <c r="O155" s="629">
        <v>3996</v>
      </c>
      <c r="P155" s="629">
        <f t="shared" si="29"/>
        <v>179820</v>
      </c>
      <c r="Q155" s="24"/>
      <c r="S155" s="1122"/>
    </row>
    <row r="156" spans="2:19" x14ac:dyDescent="0.25">
      <c r="B156" s="1"/>
      <c r="C156" s="618" t="e">
        <f>'FORMATO PROPUESTA ECONÓMICA'!#REF!</f>
        <v>#REF!</v>
      </c>
      <c r="D156" s="626"/>
      <c r="E156" s="620" t="e">
        <f>'FORMATO PROPUESTA ECONÓMICA'!#REF!</f>
        <v>#REF!</v>
      </c>
      <c r="F156" s="633" t="s">
        <v>345</v>
      </c>
      <c r="G156" s="628" t="str">
        <f t="shared" ref="G156:N156" si="39">G75</f>
        <v>und</v>
      </c>
      <c r="H156" s="628">
        <f t="shared" si="39"/>
        <v>0</v>
      </c>
      <c r="I156" s="628">
        <f t="shared" si="39"/>
        <v>0</v>
      </c>
      <c r="J156" s="628">
        <f t="shared" si="39"/>
        <v>0.99999968892509594</v>
      </c>
      <c r="K156" s="628">
        <f t="shared" si="39"/>
        <v>0</v>
      </c>
      <c r="L156" s="628">
        <f t="shared" si="39"/>
        <v>0</v>
      </c>
      <c r="M156" s="628">
        <f t="shared" si="39"/>
        <v>0</v>
      </c>
      <c r="N156" s="913">
        <f t="shared" si="39"/>
        <v>345</v>
      </c>
      <c r="O156" s="629">
        <v>15225</v>
      </c>
      <c r="P156" s="629">
        <f t="shared" si="29"/>
        <v>5252625</v>
      </c>
      <c r="Q156" s="24"/>
      <c r="S156" s="1122"/>
    </row>
    <row r="157" spans="2:19" ht="90" hidden="1" x14ac:dyDescent="0.25">
      <c r="B157" s="1"/>
      <c r="C157" s="618" t="e">
        <f>'FORMATO PROPUESTA ECONÓMICA'!#REF!</f>
        <v>#REF!</v>
      </c>
      <c r="D157" s="626"/>
      <c r="E157" s="620" t="e">
        <f>'FORMATO PROPUESTA ECONÓMICA'!#REF!</f>
        <v>#REF!</v>
      </c>
      <c r="F157" s="633" t="s">
        <v>353</v>
      </c>
      <c r="G157" s="628" t="str">
        <f t="shared" ref="G157:N157" si="40">G76</f>
        <v>und</v>
      </c>
      <c r="H157" s="628">
        <f t="shared" si="40"/>
        <v>0</v>
      </c>
      <c r="I157" s="628">
        <f t="shared" si="40"/>
        <v>0</v>
      </c>
      <c r="J157" s="628">
        <f t="shared" si="40"/>
        <v>1</v>
      </c>
      <c r="K157" s="628">
        <f t="shared" si="40"/>
        <v>0</v>
      </c>
      <c r="L157" s="628">
        <f t="shared" si="40"/>
        <v>0</v>
      </c>
      <c r="M157" s="628">
        <f t="shared" si="40"/>
        <v>0</v>
      </c>
      <c r="N157" s="913">
        <f t="shared" si="40"/>
        <v>345</v>
      </c>
      <c r="O157" s="629"/>
      <c r="P157" s="629">
        <f t="shared" si="29"/>
        <v>0</v>
      </c>
      <c r="Q157" s="24"/>
      <c r="S157" s="1122"/>
    </row>
    <row r="158" spans="2:19" x14ac:dyDescent="0.25">
      <c r="B158" s="1"/>
      <c r="C158" s="618" t="e">
        <f>'FORMATO PROPUESTA ECONÓMICA'!#REF!</f>
        <v>#REF!</v>
      </c>
      <c r="D158" s="626"/>
      <c r="E158" s="620" t="e">
        <f>'FORMATO PROPUESTA ECONÓMICA'!#REF!</f>
        <v>#REF!</v>
      </c>
      <c r="F158" s="633" t="s">
        <v>346</v>
      </c>
      <c r="G158" s="628" t="str">
        <f>G77</f>
        <v>und</v>
      </c>
      <c r="H158" s="628">
        <f t="shared" ref="H158:N158" si="41">H77</f>
        <v>0</v>
      </c>
      <c r="I158" s="628">
        <f t="shared" si="41"/>
        <v>0</v>
      </c>
      <c r="J158" s="628">
        <f t="shared" si="41"/>
        <v>1</v>
      </c>
      <c r="K158" s="628">
        <f t="shared" si="41"/>
        <v>0</v>
      </c>
      <c r="L158" s="628">
        <f t="shared" si="41"/>
        <v>0</v>
      </c>
      <c r="M158" s="628">
        <f t="shared" si="41"/>
        <v>0</v>
      </c>
      <c r="N158" s="913">
        <f t="shared" si="41"/>
        <v>345</v>
      </c>
      <c r="O158" s="629">
        <v>7350</v>
      </c>
      <c r="P158" s="629">
        <f t="shared" si="29"/>
        <v>2535750</v>
      </c>
      <c r="Q158" s="24"/>
      <c r="S158" s="1122"/>
    </row>
    <row r="159" spans="2:19" x14ac:dyDescent="0.25">
      <c r="B159" s="1" t="str">
        <f>+'[3]5.Domiciliarias Colector La Yuq'!C38</f>
        <v>415.6 mm x 147.7 mm</v>
      </c>
      <c r="C159" s="618" t="e">
        <f>'FORMATO PROPUESTA ECONÓMICA'!#REF!</f>
        <v>#REF!</v>
      </c>
      <c r="D159" s="626"/>
      <c r="E159" s="620" t="e">
        <f>'FORMATO PROPUESTA ECONÓMICA'!#REF!</f>
        <v>#REF!</v>
      </c>
      <c r="F159" s="633" t="s">
        <v>347</v>
      </c>
      <c r="G159" s="628" t="str">
        <f t="shared" ref="G159:N159" si="42">G78</f>
        <v>und</v>
      </c>
      <c r="H159" s="628">
        <f t="shared" si="42"/>
        <v>0</v>
      </c>
      <c r="I159" s="628">
        <f t="shared" si="42"/>
        <v>0</v>
      </c>
      <c r="J159" s="628">
        <f t="shared" si="42"/>
        <v>0.99995051233937871</v>
      </c>
      <c r="K159" s="628">
        <f t="shared" si="42"/>
        <v>0</v>
      </c>
      <c r="L159" s="628">
        <f t="shared" si="42"/>
        <v>0</v>
      </c>
      <c r="M159" s="628">
        <f t="shared" si="42"/>
        <v>0</v>
      </c>
      <c r="N159" s="913">
        <f t="shared" si="42"/>
        <v>690</v>
      </c>
      <c r="O159" s="629">
        <v>394</v>
      </c>
      <c r="P159" s="629">
        <f t="shared" si="29"/>
        <v>271860</v>
      </c>
      <c r="Q159" s="24"/>
      <c r="S159" s="1122"/>
    </row>
    <row r="160" spans="2:19" x14ac:dyDescent="0.25">
      <c r="B160" s="1" t="str">
        <f>+'[3]5.Domiciliarias Colector La Yuq'!C39</f>
        <v>461.8 mm x 147.7 mm</v>
      </c>
      <c r="C160" s="618" t="e">
        <f>'FORMATO PROPUESTA ECONÓMICA'!#REF!</f>
        <v>#REF!</v>
      </c>
      <c r="D160" s="626"/>
      <c r="E160" s="620" t="e">
        <f>'FORMATO PROPUESTA ECONÓMICA'!#REF!</f>
        <v>#REF!</v>
      </c>
      <c r="F160" s="633" t="s">
        <v>348</v>
      </c>
      <c r="G160" s="628" t="str">
        <f t="shared" ref="G160:N160" si="43">G79</f>
        <v>und</v>
      </c>
      <c r="H160" s="628">
        <f t="shared" si="43"/>
        <v>0</v>
      </c>
      <c r="I160" s="628">
        <f t="shared" si="43"/>
        <v>0</v>
      </c>
      <c r="J160" s="628">
        <f t="shared" si="43"/>
        <v>1</v>
      </c>
      <c r="K160" s="628">
        <f t="shared" si="43"/>
        <v>0</v>
      </c>
      <c r="L160" s="628">
        <f t="shared" si="43"/>
        <v>0</v>
      </c>
      <c r="M160" s="628">
        <f t="shared" si="43"/>
        <v>0</v>
      </c>
      <c r="N160" s="913">
        <f t="shared" si="43"/>
        <v>690</v>
      </c>
      <c r="O160" s="629">
        <v>616</v>
      </c>
      <c r="P160" s="629">
        <f t="shared" si="29"/>
        <v>425040</v>
      </c>
      <c r="Q160" s="24"/>
      <c r="S160" s="1122"/>
    </row>
    <row r="161" spans="3:19" x14ac:dyDescent="0.25">
      <c r="C161" s="635"/>
      <c r="D161" s="636"/>
      <c r="E161" s="637"/>
      <c r="F161" s="637"/>
      <c r="G161" s="637"/>
      <c r="H161" s="637"/>
      <c r="I161" s="637"/>
      <c r="J161" s="637"/>
      <c r="K161" s="637"/>
      <c r="L161" s="637"/>
      <c r="M161" s="637"/>
      <c r="N161" s="637"/>
      <c r="O161" s="1002"/>
      <c r="P161" s="1002"/>
    </row>
    <row r="162" spans="3:19" ht="16.5" thickBot="1" x14ac:dyDescent="0.3">
      <c r="D162" s="25"/>
      <c r="G162" s="6"/>
      <c r="H162" s="6"/>
      <c r="I162" s="6"/>
      <c r="J162" s="6"/>
      <c r="K162" s="7" t="str">
        <f>+O162</f>
        <v>OBRA CIVIL</v>
      </c>
      <c r="L162" s="7" t="str">
        <f>+P162</f>
        <v>SUMINISTRO</v>
      </c>
      <c r="M162" s="6"/>
      <c r="N162" s="744"/>
      <c r="O162" s="945" t="str">
        <f>+F9</f>
        <v>OBRA CIVIL</v>
      </c>
      <c r="P162" s="945" t="str">
        <f>+F115</f>
        <v>SUMINISTRO</v>
      </c>
    </row>
    <row r="163" spans="3:19" x14ac:dyDescent="0.25">
      <c r="C163" s="26"/>
      <c r="D163" s="8"/>
      <c r="E163" s="8"/>
      <c r="F163" s="8" t="s">
        <v>19</v>
      </c>
      <c r="G163" s="8"/>
      <c r="H163" s="8"/>
      <c r="I163" s="8"/>
      <c r="J163" s="8"/>
      <c r="K163" s="9">
        <f>+SUM(L11:L114)</f>
        <v>0</v>
      </c>
      <c r="L163" s="9"/>
      <c r="M163" s="8"/>
      <c r="N163" s="8"/>
      <c r="O163" s="9">
        <f>+SUM(P11:P114)</f>
        <v>0</v>
      </c>
      <c r="P163" s="9"/>
    </row>
    <row r="164" spans="3:19" x14ac:dyDescent="0.25">
      <c r="C164" s="27"/>
      <c r="D164" s="10"/>
      <c r="E164" s="10"/>
      <c r="F164" s="10" t="s">
        <v>20</v>
      </c>
      <c r="G164" s="10"/>
      <c r="H164" s="10"/>
      <c r="I164" s="10"/>
      <c r="J164" s="10"/>
      <c r="K164" s="11"/>
      <c r="L164" s="11" t="e">
        <f>+SUM(L117:L160)</f>
        <v>#REF!</v>
      </c>
      <c r="M164" s="10"/>
      <c r="N164" s="10"/>
      <c r="O164" s="11"/>
      <c r="P164" s="11">
        <f>+SUM(P117:P160)*1.16</f>
        <v>237989302.02399999</v>
      </c>
    </row>
    <row r="165" spans="3:19" x14ac:dyDescent="0.25">
      <c r="C165" s="27"/>
      <c r="D165" s="10"/>
      <c r="E165" s="10"/>
      <c r="F165" s="10" t="s">
        <v>21</v>
      </c>
      <c r="G165" s="10"/>
      <c r="H165" s="10"/>
      <c r="I165" s="10"/>
      <c r="J165" s="10"/>
      <c r="K165" s="12">
        <f>+K163</f>
        <v>0</v>
      </c>
      <c r="L165" s="12" t="e">
        <f>+L164</f>
        <v>#REF!</v>
      </c>
      <c r="M165" s="10"/>
      <c r="N165" s="10"/>
      <c r="O165" s="12">
        <f>+O163</f>
        <v>0</v>
      </c>
      <c r="P165" s="12">
        <f>+P164</f>
        <v>237989302.02399999</v>
      </c>
    </row>
    <row r="166" spans="3:19" ht="15.75" x14ac:dyDescent="0.25">
      <c r="C166" s="28"/>
      <c r="D166" s="14"/>
      <c r="E166" s="14"/>
      <c r="F166" s="13" t="s">
        <v>22</v>
      </c>
      <c r="G166" s="14"/>
      <c r="H166" s="14"/>
      <c r="I166" s="14"/>
      <c r="J166" s="14"/>
      <c r="K166" s="1433" t="e">
        <f>+L165+K165</f>
        <v>#REF!</v>
      </c>
      <c r="L166" s="1433"/>
      <c r="M166" s="14"/>
      <c r="N166" s="14"/>
      <c r="O166" s="1433">
        <f>+P165+O165</f>
        <v>237989302.02399999</v>
      </c>
      <c r="P166" s="1433"/>
    </row>
    <row r="167" spans="3:19" x14ac:dyDescent="0.25">
      <c r="C167" s="29"/>
      <c r="D167" s="15"/>
      <c r="E167" s="15"/>
      <c r="F167" s="10" t="s">
        <v>337</v>
      </c>
      <c r="G167" s="15"/>
      <c r="H167" s="15"/>
      <c r="I167" s="15"/>
      <c r="J167" s="15"/>
      <c r="K167" s="11" t="e">
        <f>+K165*$N167</f>
        <v>#DIV/0!</v>
      </c>
      <c r="L167" s="11"/>
      <c r="M167" s="15"/>
      <c r="N167" s="985" t="e">
        <f>ROUND(AU!G70,2)</f>
        <v>#DIV/0!</v>
      </c>
      <c r="O167" s="11" t="e">
        <f>+O165*$N167</f>
        <v>#DIV/0!</v>
      </c>
      <c r="P167" s="11"/>
    </row>
    <row r="168" spans="3:19" x14ac:dyDescent="0.25">
      <c r="C168" s="29"/>
      <c r="D168" s="15"/>
      <c r="E168" s="15"/>
      <c r="F168" s="10" t="s">
        <v>338</v>
      </c>
      <c r="G168" s="15"/>
      <c r="H168" s="15"/>
      <c r="I168" s="15"/>
      <c r="J168" s="15"/>
      <c r="K168" s="11"/>
      <c r="L168" s="11" t="e">
        <f>+L165*$N168</f>
        <v>#REF!</v>
      </c>
      <c r="M168" s="15"/>
      <c r="N168" s="985">
        <v>0.08</v>
      </c>
      <c r="O168" s="11"/>
      <c r="P168" s="11">
        <f>+P165*$N168</f>
        <v>19039144.16192</v>
      </c>
    </row>
    <row r="169" spans="3:19" ht="15.75" x14ac:dyDescent="0.25">
      <c r="C169" s="28"/>
      <c r="D169" s="14"/>
      <c r="E169" s="14"/>
      <c r="F169" s="13" t="s">
        <v>23</v>
      </c>
      <c r="G169" s="14"/>
      <c r="H169" s="14"/>
      <c r="I169" s="14"/>
      <c r="J169" s="14"/>
      <c r="K169" s="1433" t="e">
        <f>+K167+L168</f>
        <v>#DIV/0!</v>
      </c>
      <c r="L169" s="1433"/>
      <c r="M169" s="14"/>
      <c r="N169" s="14"/>
      <c r="O169" s="1433" t="e">
        <f>+O167+P168</f>
        <v>#DIV/0!</v>
      </c>
      <c r="P169" s="1433"/>
      <c r="S169" s="24"/>
    </row>
    <row r="170" spans="3:19" x14ac:dyDescent="0.25">
      <c r="C170" s="29"/>
      <c r="D170" s="15"/>
      <c r="E170" s="15"/>
      <c r="F170" s="10" t="s">
        <v>24</v>
      </c>
      <c r="G170" s="15"/>
      <c r="H170" s="15"/>
      <c r="I170" s="15"/>
      <c r="J170" s="15"/>
      <c r="K170" s="12" t="e">
        <f>+K167+K165</f>
        <v>#DIV/0!</v>
      </c>
      <c r="L170" s="12" t="e">
        <f>+L168+L165</f>
        <v>#REF!</v>
      </c>
      <c r="M170" s="15"/>
      <c r="N170" s="985"/>
      <c r="O170" s="12" t="e">
        <f>+O167+O165</f>
        <v>#DIV/0!</v>
      </c>
      <c r="P170" s="12">
        <f>+P168+P165</f>
        <v>257028446.18592</v>
      </c>
    </row>
    <row r="171" spans="3:19" ht="15.75" x14ac:dyDescent="0.25">
      <c r="C171" s="28"/>
      <c r="D171" s="14"/>
      <c r="E171" s="14"/>
      <c r="F171" s="13" t="s">
        <v>25</v>
      </c>
      <c r="G171" s="14"/>
      <c r="H171" s="14"/>
      <c r="I171" s="14"/>
      <c r="J171" s="14"/>
      <c r="K171" s="1433" t="e">
        <f>+K170+L170</f>
        <v>#DIV/0!</v>
      </c>
      <c r="L171" s="1433"/>
      <c r="M171" s="14"/>
      <c r="N171" s="14"/>
      <c r="O171" s="1433" t="e">
        <f>+O170+P170</f>
        <v>#DIV/0!</v>
      </c>
      <c r="P171" s="1433"/>
    </row>
    <row r="172" spans="3:19" x14ac:dyDescent="0.25">
      <c r="C172" s="29"/>
      <c r="D172" s="15"/>
      <c r="E172" s="15"/>
      <c r="F172" s="10" t="s">
        <v>40</v>
      </c>
      <c r="G172" s="15"/>
      <c r="H172" s="15"/>
      <c r="I172" s="15"/>
      <c r="J172" s="15"/>
      <c r="K172" s="11" t="e">
        <f>+K170*$N172</f>
        <v>#DIV/0!</v>
      </c>
      <c r="L172" s="11"/>
      <c r="M172" s="15"/>
      <c r="N172" s="985">
        <v>0.08</v>
      </c>
      <c r="O172" s="11" t="e">
        <f>+O170*$N172</f>
        <v>#DIV/0!</v>
      </c>
      <c r="P172" s="11"/>
    </row>
    <row r="173" spans="3:19" x14ac:dyDescent="0.25">
      <c r="C173" s="29"/>
      <c r="D173" s="15"/>
      <c r="E173" s="15"/>
      <c r="F173" s="10" t="s">
        <v>41</v>
      </c>
      <c r="G173" s="15"/>
      <c r="H173" s="15"/>
      <c r="I173" s="15"/>
      <c r="J173" s="15"/>
      <c r="K173" s="11"/>
      <c r="L173" s="11" t="e">
        <f>+L170*$N173</f>
        <v>#REF!</v>
      </c>
      <c r="M173" s="15"/>
      <c r="N173" s="985">
        <v>0.02</v>
      </c>
      <c r="O173" s="11"/>
      <c r="P173" s="11">
        <f>+P170*$N173</f>
        <v>5140568.9237184003</v>
      </c>
    </row>
    <row r="174" spans="3:19" ht="15.75" x14ac:dyDescent="0.25">
      <c r="C174" s="28"/>
      <c r="D174" s="14"/>
      <c r="E174" s="14"/>
      <c r="F174" s="13" t="s">
        <v>26</v>
      </c>
      <c r="G174" s="14"/>
      <c r="H174" s="14"/>
      <c r="I174" s="14"/>
      <c r="J174" s="14"/>
      <c r="K174" s="1433" t="e">
        <f>+L173+K172</f>
        <v>#REF!</v>
      </c>
      <c r="L174" s="1433"/>
      <c r="M174" s="14"/>
      <c r="N174" s="14"/>
      <c r="O174" s="1433" t="e">
        <f>+P173+O172</f>
        <v>#DIV/0!</v>
      </c>
      <c r="P174" s="1433"/>
    </row>
    <row r="175" spans="3:19" x14ac:dyDescent="0.25">
      <c r="C175" s="29"/>
      <c r="D175" s="15"/>
      <c r="E175" s="15"/>
      <c r="F175" s="16"/>
      <c r="G175" s="15"/>
      <c r="H175" s="15"/>
      <c r="I175" s="15"/>
      <c r="J175" s="15"/>
      <c r="K175" s="12" t="e">
        <f>+K172+K170</f>
        <v>#DIV/0!</v>
      </c>
      <c r="L175" s="12" t="e">
        <f>+L173+L170</f>
        <v>#REF!</v>
      </c>
      <c r="M175" s="15"/>
      <c r="N175" s="985"/>
      <c r="O175" s="12" t="e">
        <f>+O172+O170</f>
        <v>#DIV/0!</v>
      </c>
      <c r="P175" s="12">
        <f>+P173+P170</f>
        <v>262169015.10963839</v>
      </c>
    </row>
    <row r="176" spans="3:19" ht="15.75" x14ac:dyDescent="0.25">
      <c r="C176" s="28"/>
      <c r="D176" s="14"/>
      <c r="E176" s="14"/>
      <c r="F176" s="23" t="s">
        <v>27</v>
      </c>
      <c r="G176" s="14"/>
      <c r="H176" s="14"/>
      <c r="I176" s="14"/>
      <c r="J176" s="14"/>
      <c r="K176" s="1433" t="e">
        <f>+K175+L175</f>
        <v>#DIV/0!</v>
      </c>
      <c r="L176" s="1433"/>
      <c r="M176" s="14"/>
      <c r="N176" s="14"/>
      <c r="O176" s="1433" t="e">
        <f>+O175+P175</f>
        <v>#DIV/0!</v>
      </c>
      <c r="P176" s="1433"/>
    </row>
    <row r="177" spans="3:16" x14ac:dyDescent="0.25">
      <c r="C177" s="29"/>
      <c r="D177" s="15"/>
      <c r="E177" s="15"/>
      <c r="F177" s="10" t="s">
        <v>28</v>
      </c>
      <c r="G177" s="15"/>
      <c r="H177" s="15"/>
      <c r="I177" s="15"/>
      <c r="J177" s="15"/>
      <c r="K177" s="11" t="e">
        <f>+K175*$N177/(1-$N177)</f>
        <v>#DIV/0!</v>
      </c>
      <c r="L177" s="11"/>
      <c r="M177" s="15"/>
      <c r="N177" s="985">
        <v>0.02</v>
      </c>
      <c r="O177" s="11" t="e">
        <f>+O175*$N177/(1-$N177)</f>
        <v>#DIV/0!</v>
      </c>
      <c r="P177" s="11"/>
    </row>
    <row r="178" spans="3:16" x14ac:dyDescent="0.25">
      <c r="C178" s="29"/>
      <c r="D178" s="15"/>
      <c r="E178" s="15"/>
      <c r="F178" s="10"/>
      <c r="G178" s="15"/>
      <c r="H178" s="15"/>
      <c r="I178" s="15"/>
      <c r="J178" s="15"/>
      <c r="K178" s="11"/>
      <c r="L178" s="11" t="e">
        <f>+L175*$N178/(1-$N178)</f>
        <v>#REF!</v>
      </c>
      <c r="M178" s="15"/>
      <c r="N178" s="985">
        <v>0.02</v>
      </c>
      <c r="O178" s="11"/>
      <c r="P178" s="11">
        <f>+P175*$N178/(1-$N178)</f>
        <v>5350388.0634620087</v>
      </c>
    </row>
    <row r="179" spans="3:16" ht="15.75" x14ac:dyDescent="0.25">
      <c r="C179" s="28"/>
      <c r="D179" s="14"/>
      <c r="E179" s="14"/>
      <c r="F179" s="13" t="s">
        <v>29</v>
      </c>
      <c r="G179" s="14"/>
      <c r="H179" s="14"/>
      <c r="I179" s="14"/>
      <c r="J179" s="14"/>
      <c r="K179" s="1433" t="e">
        <f>+K177+L178</f>
        <v>#DIV/0!</v>
      </c>
      <c r="L179" s="1433"/>
      <c r="M179" s="14"/>
      <c r="N179" s="14"/>
      <c r="O179" s="1433" t="e">
        <f>+O177+P178</f>
        <v>#DIV/0!</v>
      </c>
      <c r="P179" s="1433"/>
    </row>
    <row r="180" spans="3:16" x14ac:dyDescent="0.25">
      <c r="C180" s="29"/>
      <c r="D180" s="15"/>
      <c r="E180" s="15"/>
      <c r="F180" s="10" t="s">
        <v>30</v>
      </c>
      <c r="G180" s="15"/>
      <c r="H180" s="15"/>
      <c r="I180" s="15"/>
      <c r="J180" s="15"/>
      <c r="K180" s="12" t="e">
        <f>+K177+K175</f>
        <v>#DIV/0!</v>
      </c>
      <c r="L180" s="12" t="e">
        <f>+L178+L175</f>
        <v>#REF!</v>
      </c>
      <c r="M180" s="15"/>
      <c r="N180" s="985"/>
      <c r="O180" s="12" t="e">
        <f>+O177+O175</f>
        <v>#DIV/0!</v>
      </c>
      <c r="P180" s="12">
        <f>+P178+P175</f>
        <v>267519403.17310041</v>
      </c>
    </row>
    <row r="181" spans="3:16" ht="16.5" thickBot="1" x14ac:dyDescent="0.3">
      <c r="C181" s="30"/>
      <c r="D181" s="18"/>
      <c r="E181" s="18"/>
      <c r="F181" s="17" t="s">
        <v>31</v>
      </c>
      <c r="G181" s="18"/>
      <c r="H181" s="18"/>
      <c r="I181" s="18"/>
      <c r="J181" s="18"/>
      <c r="K181" s="1435" t="e">
        <f>+K180+L180</f>
        <v>#DIV/0!</v>
      </c>
      <c r="L181" s="1435"/>
      <c r="M181" s="18"/>
      <c r="N181" s="986"/>
      <c r="O181" s="1435" t="e">
        <f>+O180+P180</f>
        <v>#DIV/0!</v>
      </c>
      <c r="P181" s="1435"/>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75"/>
  <sheetViews>
    <sheetView view="pageBreakPreview" topLeftCell="A49" zoomScale="90" zoomScaleNormal="100" zoomScaleSheetLayoutView="90" workbookViewId="0">
      <selection activeCell="G70" sqref="G70"/>
    </sheetView>
  </sheetViews>
  <sheetFormatPr baseColWidth="10" defaultRowHeight="12" x14ac:dyDescent="0.2"/>
  <cols>
    <col min="1" max="1" width="6.5703125" style="464" customWidth="1"/>
    <col min="2" max="2" width="34.42578125" style="550" customWidth="1"/>
    <col min="3" max="3" width="4.7109375" style="551" customWidth="1"/>
    <col min="4" max="4" width="5.7109375" style="552" customWidth="1"/>
    <col min="5" max="5" width="5.85546875" style="553" customWidth="1"/>
    <col min="6" max="6" width="13.140625" style="554" bestFit="1" customWidth="1"/>
    <col min="7" max="7" width="12.7109375" style="466" customWidth="1"/>
    <col min="8" max="8" width="23.140625" style="556" customWidth="1"/>
    <col min="9" max="9" width="12.28515625" style="468" customWidth="1"/>
    <col min="10" max="10" width="0" style="466" hidden="1" customWidth="1"/>
    <col min="11" max="11" width="11.42578125" style="466"/>
    <col min="12" max="12" width="13.140625" style="466" bestFit="1" customWidth="1"/>
    <col min="13" max="13" width="12.140625" style="466" bestFit="1" customWidth="1"/>
    <col min="14" max="248" width="11.42578125" style="466"/>
    <col min="249" max="249" width="6.5703125" style="466" customWidth="1"/>
    <col min="250" max="250" width="34.42578125" style="466" customWidth="1"/>
    <col min="251" max="251" width="4.7109375" style="466" customWidth="1"/>
    <col min="252" max="252" width="5.7109375" style="466" customWidth="1"/>
    <col min="253" max="253" width="5.85546875" style="466" customWidth="1"/>
    <col min="254" max="254" width="12.28515625" style="466" customWidth="1"/>
    <col min="255" max="255" width="12.7109375" style="466" customWidth="1"/>
    <col min="256" max="256" width="16.85546875" style="466" customWidth="1"/>
    <col min="257" max="257" width="12.28515625" style="466" customWidth="1"/>
    <col min="258" max="258" width="0" style="466" hidden="1" customWidth="1"/>
    <col min="259" max="259" width="11.42578125" style="466"/>
    <col min="260" max="260" width="13.5703125" style="466" bestFit="1" customWidth="1"/>
    <col min="261" max="504" width="11.42578125" style="466"/>
    <col min="505" max="505" width="6.5703125" style="466" customWidth="1"/>
    <col min="506" max="506" width="34.42578125" style="466" customWidth="1"/>
    <col min="507" max="507" width="4.7109375" style="466" customWidth="1"/>
    <col min="508" max="508" width="5.7109375" style="466" customWidth="1"/>
    <col min="509" max="509" width="5.85546875" style="466" customWidth="1"/>
    <col min="510" max="510" width="12.28515625" style="466" customWidth="1"/>
    <col min="511" max="511" width="12.7109375" style="466" customWidth="1"/>
    <col min="512" max="512" width="16.85546875" style="466" customWidth="1"/>
    <col min="513" max="513" width="12.28515625" style="466" customWidth="1"/>
    <col min="514" max="514" width="0" style="466" hidden="1" customWidth="1"/>
    <col min="515" max="515" width="11.42578125" style="466"/>
    <col min="516" max="516" width="13.5703125" style="466" bestFit="1" customWidth="1"/>
    <col min="517" max="760" width="11.42578125" style="466"/>
    <col min="761" max="761" width="6.5703125" style="466" customWidth="1"/>
    <col min="762" max="762" width="34.42578125" style="466" customWidth="1"/>
    <col min="763" max="763" width="4.7109375" style="466" customWidth="1"/>
    <col min="764" max="764" width="5.7109375" style="466" customWidth="1"/>
    <col min="765" max="765" width="5.85546875" style="466" customWidth="1"/>
    <col min="766" max="766" width="12.28515625" style="466" customWidth="1"/>
    <col min="767" max="767" width="12.7109375" style="466" customWidth="1"/>
    <col min="768" max="768" width="16.85546875" style="466" customWidth="1"/>
    <col min="769" max="769" width="12.28515625" style="466" customWidth="1"/>
    <col min="770" max="770" width="0" style="466" hidden="1" customWidth="1"/>
    <col min="771" max="771" width="11.42578125" style="466"/>
    <col min="772" max="772" width="13.5703125" style="466" bestFit="1" customWidth="1"/>
    <col min="773" max="1016" width="11.42578125" style="466"/>
    <col min="1017" max="1017" width="6.5703125" style="466" customWidth="1"/>
    <col min="1018" max="1018" width="34.42578125" style="466" customWidth="1"/>
    <col min="1019" max="1019" width="4.7109375" style="466" customWidth="1"/>
    <col min="1020" max="1020" width="5.7109375" style="466" customWidth="1"/>
    <col min="1021" max="1021" width="5.85546875" style="466" customWidth="1"/>
    <col min="1022" max="1022" width="12.28515625" style="466" customWidth="1"/>
    <col min="1023" max="1023" width="12.7109375" style="466" customWidth="1"/>
    <col min="1024" max="1024" width="16.85546875" style="466" customWidth="1"/>
    <col min="1025" max="1025" width="12.28515625" style="466" customWidth="1"/>
    <col min="1026" max="1026" width="0" style="466" hidden="1" customWidth="1"/>
    <col min="1027" max="1027" width="11.42578125" style="466"/>
    <col min="1028" max="1028" width="13.5703125" style="466" bestFit="1" customWidth="1"/>
    <col min="1029" max="1272" width="11.42578125" style="466"/>
    <col min="1273" max="1273" width="6.5703125" style="466" customWidth="1"/>
    <col min="1274" max="1274" width="34.42578125" style="466" customWidth="1"/>
    <col min="1275" max="1275" width="4.7109375" style="466" customWidth="1"/>
    <col min="1276" max="1276" width="5.7109375" style="466" customWidth="1"/>
    <col min="1277" max="1277" width="5.85546875" style="466" customWidth="1"/>
    <col min="1278" max="1278" width="12.28515625" style="466" customWidth="1"/>
    <col min="1279" max="1279" width="12.7109375" style="466" customWidth="1"/>
    <col min="1280" max="1280" width="16.85546875" style="466" customWidth="1"/>
    <col min="1281" max="1281" width="12.28515625" style="466" customWidth="1"/>
    <col min="1282" max="1282" width="0" style="466" hidden="1" customWidth="1"/>
    <col min="1283" max="1283" width="11.42578125" style="466"/>
    <col min="1284" max="1284" width="13.5703125" style="466" bestFit="1" customWidth="1"/>
    <col min="1285" max="1528" width="11.42578125" style="466"/>
    <col min="1529" max="1529" width="6.5703125" style="466" customWidth="1"/>
    <col min="1530" max="1530" width="34.42578125" style="466" customWidth="1"/>
    <col min="1531" max="1531" width="4.7109375" style="466" customWidth="1"/>
    <col min="1532" max="1532" width="5.7109375" style="466" customWidth="1"/>
    <col min="1533" max="1533" width="5.85546875" style="466" customWidth="1"/>
    <col min="1534" max="1534" width="12.28515625" style="466" customWidth="1"/>
    <col min="1535" max="1535" width="12.7109375" style="466" customWidth="1"/>
    <col min="1536" max="1536" width="16.85546875" style="466" customWidth="1"/>
    <col min="1537" max="1537" width="12.28515625" style="466" customWidth="1"/>
    <col min="1538" max="1538" width="0" style="466" hidden="1" customWidth="1"/>
    <col min="1539" max="1539" width="11.42578125" style="466"/>
    <col min="1540" max="1540" width="13.5703125" style="466" bestFit="1" customWidth="1"/>
    <col min="1541" max="1784" width="11.42578125" style="466"/>
    <col min="1785" max="1785" width="6.5703125" style="466" customWidth="1"/>
    <col min="1786" max="1786" width="34.42578125" style="466" customWidth="1"/>
    <col min="1787" max="1787" width="4.7109375" style="466" customWidth="1"/>
    <col min="1788" max="1788" width="5.7109375" style="466" customWidth="1"/>
    <col min="1789" max="1789" width="5.85546875" style="466" customWidth="1"/>
    <col min="1790" max="1790" width="12.28515625" style="466" customWidth="1"/>
    <col min="1791" max="1791" width="12.7109375" style="466" customWidth="1"/>
    <col min="1792" max="1792" width="16.85546875" style="466" customWidth="1"/>
    <col min="1793" max="1793" width="12.28515625" style="466" customWidth="1"/>
    <col min="1794" max="1794" width="0" style="466" hidden="1" customWidth="1"/>
    <col min="1795" max="1795" width="11.42578125" style="466"/>
    <col min="1796" max="1796" width="13.5703125" style="466" bestFit="1" customWidth="1"/>
    <col min="1797" max="2040" width="11.42578125" style="466"/>
    <col min="2041" max="2041" width="6.5703125" style="466" customWidth="1"/>
    <col min="2042" max="2042" width="34.42578125" style="466" customWidth="1"/>
    <col min="2043" max="2043" width="4.7109375" style="466" customWidth="1"/>
    <col min="2044" max="2044" width="5.7109375" style="466" customWidth="1"/>
    <col min="2045" max="2045" width="5.85546875" style="466" customWidth="1"/>
    <col min="2046" max="2046" width="12.28515625" style="466" customWidth="1"/>
    <col min="2047" max="2047" width="12.7109375" style="466" customWidth="1"/>
    <col min="2048" max="2048" width="16.85546875" style="466" customWidth="1"/>
    <col min="2049" max="2049" width="12.28515625" style="466" customWidth="1"/>
    <col min="2050" max="2050" width="0" style="466" hidden="1" customWidth="1"/>
    <col min="2051" max="2051" width="11.42578125" style="466"/>
    <col min="2052" max="2052" width="13.5703125" style="466" bestFit="1" customWidth="1"/>
    <col min="2053" max="2296" width="11.42578125" style="466"/>
    <col min="2297" max="2297" width="6.5703125" style="466" customWidth="1"/>
    <col min="2298" max="2298" width="34.42578125" style="466" customWidth="1"/>
    <col min="2299" max="2299" width="4.7109375" style="466" customWidth="1"/>
    <col min="2300" max="2300" width="5.7109375" style="466" customWidth="1"/>
    <col min="2301" max="2301" width="5.85546875" style="466" customWidth="1"/>
    <col min="2302" max="2302" width="12.28515625" style="466" customWidth="1"/>
    <col min="2303" max="2303" width="12.7109375" style="466" customWidth="1"/>
    <col min="2304" max="2304" width="16.85546875" style="466" customWidth="1"/>
    <col min="2305" max="2305" width="12.28515625" style="466" customWidth="1"/>
    <col min="2306" max="2306" width="0" style="466" hidden="1" customWidth="1"/>
    <col min="2307" max="2307" width="11.42578125" style="466"/>
    <col min="2308" max="2308" width="13.5703125" style="466" bestFit="1" customWidth="1"/>
    <col min="2309" max="2552" width="11.42578125" style="466"/>
    <col min="2553" max="2553" width="6.5703125" style="466" customWidth="1"/>
    <col min="2554" max="2554" width="34.42578125" style="466" customWidth="1"/>
    <col min="2555" max="2555" width="4.7109375" style="466" customWidth="1"/>
    <col min="2556" max="2556" width="5.7109375" style="466" customWidth="1"/>
    <col min="2557" max="2557" width="5.85546875" style="466" customWidth="1"/>
    <col min="2558" max="2558" width="12.28515625" style="466" customWidth="1"/>
    <col min="2559" max="2559" width="12.7109375" style="466" customWidth="1"/>
    <col min="2560" max="2560" width="16.85546875" style="466" customWidth="1"/>
    <col min="2561" max="2561" width="12.28515625" style="466" customWidth="1"/>
    <col min="2562" max="2562" width="0" style="466" hidden="1" customWidth="1"/>
    <col min="2563" max="2563" width="11.42578125" style="466"/>
    <col min="2564" max="2564" width="13.5703125" style="466" bestFit="1" customWidth="1"/>
    <col min="2565" max="2808" width="11.42578125" style="466"/>
    <col min="2809" max="2809" width="6.5703125" style="466" customWidth="1"/>
    <col min="2810" max="2810" width="34.42578125" style="466" customWidth="1"/>
    <col min="2811" max="2811" width="4.7109375" style="466" customWidth="1"/>
    <col min="2812" max="2812" width="5.7109375" style="466" customWidth="1"/>
    <col min="2813" max="2813" width="5.85546875" style="466" customWidth="1"/>
    <col min="2814" max="2814" width="12.28515625" style="466" customWidth="1"/>
    <col min="2815" max="2815" width="12.7109375" style="466" customWidth="1"/>
    <col min="2816" max="2816" width="16.85546875" style="466" customWidth="1"/>
    <col min="2817" max="2817" width="12.28515625" style="466" customWidth="1"/>
    <col min="2818" max="2818" width="0" style="466" hidden="1" customWidth="1"/>
    <col min="2819" max="2819" width="11.42578125" style="466"/>
    <col min="2820" max="2820" width="13.5703125" style="466" bestFit="1" customWidth="1"/>
    <col min="2821" max="3064" width="11.42578125" style="466"/>
    <col min="3065" max="3065" width="6.5703125" style="466" customWidth="1"/>
    <col min="3066" max="3066" width="34.42578125" style="466" customWidth="1"/>
    <col min="3067" max="3067" width="4.7109375" style="466" customWidth="1"/>
    <col min="3068" max="3068" width="5.7109375" style="466" customWidth="1"/>
    <col min="3069" max="3069" width="5.85546875" style="466" customWidth="1"/>
    <col min="3070" max="3070" width="12.28515625" style="466" customWidth="1"/>
    <col min="3071" max="3071" width="12.7109375" style="466" customWidth="1"/>
    <col min="3072" max="3072" width="16.85546875" style="466" customWidth="1"/>
    <col min="3073" max="3073" width="12.28515625" style="466" customWidth="1"/>
    <col min="3074" max="3074" width="0" style="466" hidden="1" customWidth="1"/>
    <col min="3075" max="3075" width="11.42578125" style="466"/>
    <col min="3076" max="3076" width="13.5703125" style="466" bestFit="1" customWidth="1"/>
    <col min="3077" max="3320" width="11.42578125" style="466"/>
    <col min="3321" max="3321" width="6.5703125" style="466" customWidth="1"/>
    <col min="3322" max="3322" width="34.42578125" style="466" customWidth="1"/>
    <col min="3323" max="3323" width="4.7109375" style="466" customWidth="1"/>
    <col min="3324" max="3324" width="5.7109375" style="466" customWidth="1"/>
    <col min="3325" max="3325" width="5.85546875" style="466" customWidth="1"/>
    <col min="3326" max="3326" width="12.28515625" style="466" customWidth="1"/>
    <col min="3327" max="3327" width="12.7109375" style="466" customWidth="1"/>
    <col min="3328" max="3328" width="16.85546875" style="466" customWidth="1"/>
    <col min="3329" max="3329" width="12.28515625" style="466" customWidth="1"/>
    <col min="3330" max="3330" width="0" style="466" hidden="1" customWidth="1"/>
    <col min="3331" max="3331" width="11.42578125" style="466"/>
    <col min="3332" max="3332" width="13.5703125" style="466" bestFit="1" customWidth="1"/>
    <col min="3333" max="3576" width="11.42578125" style="466"/>
    <col min="3577" max="3577" width="6.5703125" style="466" customWidth="1"/>
    <col min="3578" max="3578" width="34.42578125" style="466" customWidth="1"/>
    <col min="3579" max="3579" width="4.7109375" style="466" customWidth="1"/>
    <col min="3580" max="3580" width="5.7109375" style="466" customWidth="1"/>
    <col min="3581" max="3581" width="5.85546875" style="466" customWidth="1"/>
    <col min="3582" max="3582" width="12.28515625" style="466" customWidth="1"/>
    <col min="3583" max="3583" width="12.7109375" style="466" customWidth="1"/>
    <col min="3584" max="3584" width="16.85546875" style="466" customWidth="1"/>
    <col min="3585" max="3585" width="12.28515625" style="466" customWidth="1"/>
    <col min="3586" max="3586" width="0" style="466" hidden="1" customWidth="1"/>
    <col min="3587" max="3587" width="11.42578125" style="466"/>
    <col min="3588" max="3588" width="13.5703125" style="466" bestFit="1" customWidth="1"/>
    <col min="3589" max="3832" width="11.42578125" style="466"/>
    <col min="3833" max="3833" width="6.5703125" style="466" customWidth="1"/>
    <col min="3834" max="3834" width="34.42578125" style="466" customWidth="1"/>
    <col min="3835" max="3835" width="4.7109375" style="466" customWidth="1"/>
    <col min="3836" max="3836" width="5.7109375" style="466" customWidth="1"/>
    <col min="3837" max="3837" width="5.85546875" style="466" customWidth="1"/>
    <col min="3838" max="3838" width="12.28515625" style="466" customWidth="1"/>
    <col min="3839" max="3839" width="12.7109375" style="466" customWidth="1"/>
    <col min="3840" max="3840" width="16.85546875" style="466" customWidth="1"/>
    <col min="3841" max="3841" width="12.28515625" style="466" customWidth="1"/>
    <col min="3842" max="3842" width="0" style="466" hidden="1" customWidth="1"/>
    <col min="3843" max="3843" width="11.42578125" style="466"/>
    <col min="3844" max="3844" width="13.5703125" style="466" bestFit="1" customWidth="1"/>
    <col min="3845" max="4088" width="11.42578125" style="466"/>
    <col min="4089" max="4089" width="6.5703125" style="466" customWidth="1"/>
    <col min="4090" max="4090" width="34.42578125" style="466" customWidth="1"/>
    <col min="4091" max="4091" width="4.7109375" style="466" customWidth="1"/>
    <col min="4092" max="4092" width="5.7109375" style="466" customWidth="1"/>
    <col min="4093" max="4093" width="5.85546875" style="466" customWidth="1"/>
    <col min="4094" max="4094" width="12.28515625" style="466" customWidth="1"/>
    <col min="4095" max="4095" width="12.7109375" style="466" customWidth="1"/>
    <col min="4096" max="4096" width="16.85546875" style="466" customWidth="1"/>
    <col min="4097" max="4097" width="12.28515625" style="466" customWidth="1"/>
    <col min="4098" max="4098" width="0" style="466" hidden="1" customWidth="1"/>
    <col min="4099" max="4099" width="11.42578125" style="466"/>
    <col min="4100" max="4100" width="13.5703125" style="466" bestFit="1" customWidth="1"/>
    <col min="4101" max="4344" width="11.42578125" style="466"/>
    <col min="4345" max="4345" width="6.5703125" style="466" customWidth="1"/>
    <col min="4346" max="4346" width="34.42578125" style="466" customWidth="1"/>
    <col min="4347" max="4347" width="4.7109375" style="466" customWidth="1"/>
    <col min="4348" max="4348" width="5.7109375" style="466" customWidth="1"/>
    <col min="4349" max="4349" width="5.85546875" style="466" customWidth="1"/>
    <col min="4350" max="4350" width="12.28515625" style="466" customWidth="1"/>
    <col min="4351" max="4351" width="12.7109375" style="466" customWidth="1"/>
    <col min="4352" max="4352" width="16.85546875" style="466" customWidth="1"/>
    <col min="4353" max="4353" width="12.28515625" style="466" customWidth="1"/>
    <col min="4354" max="4354" width="0" style="466" hidden="1" customWidth="1"/>
    <col min="4355" max="4355" width="11.42578125" style="466"/>
    <col min="4356" max="4356" width="13.5703125" style="466" bestFit="1" customWidth="1"/>
    <col min="4357" max="4600" width="11.42578125" style="466"/>
    <col min="4601" max="4601" width="6.5703125" style="466" customWidth="1"/>
    <col min="4602" max="4602" width="34.42578125" style="466" customWidth="1"/>
    <col min="4603" max="4603" width="4.7109375" style="466" customWidth="1"/>
    <col min="4604" max="4604" width="5.7109375" style="466" customWidth="1"/>
    <col min="4605" max="4605" width="5.85546875" style="466" customWidth="1"/>
    <col min="4606" max="4606" width="12.28515625" style="466" customWidth="1"/>
    <col min="4607" max="4607" width="12.7109375" style="466" customWidth="1"/>
    <col min="4608" max="4608" width="16.85546875" style="466" customWidth="1"/>
    <col min="4609" max="4609" width="12.28515625" style="466" customWidth="1"/>
    <col min="4610" max="4610" width="0" style="466" hidden="1" customWidth="1"/>
    <col min="4611" max="4611" width="11.42578125" style="466"/>
    <col min="4612" max="4612" width="13.5703125" style="466" bestFit="1" customWidth="1"/>
    <col min="4613" max="4856" width="11.42578125" style="466"/>
    <col min="4857" max="4857" width="6.5703125" style="466" customWidth="1"/>
    <col min="4858" max="4858" width="34.42578125" style="466" customWidth="1"/>
    <col min="4859" max="4859" width="4.7109375" style="466" customWidth="1"/>
    <col min="4860" max="4860" width="5.7109375" style="466" customWidth="1"/>
    <col min="4861" max="4861" width="5.85546875" style="466" customWidth="1"/>
    <col min="4862" max="4862" width="12.28515625" style="466" customWidth="1"/>
    <col min="4863" max="4863" width="12.7109375" style="466" customWidth="1"/>
    <col min="4864" max="4864" width="16.85546875" style="466" customWidth="1"/>
    <col min="4865" max="4865" width="12.28515625" style="466" customWidth="1"/>
    <col min="4866" max="4866" width="0" style="466" hidden="1" customWidth="1"/>
    <col min="4867" max="4867" width="11.42578125" style="466"/>
    <col min="4868" max="4868" width="13.5703125" style="466" bestFit="1" customWidth="1"/>
    <col min="4869" max="5112" width="11.42578125" style="466"/>
    <col min="5113" max="5113" width="6.5703125" style="466" customWidth="1"/>
    <col min="5114" max="5114" width="34.42578125" style="466" customWidth="1"/>
    <col min="5115" max="5115" width="4.7109375" style="466" customWidth="1"/>
    <col min="5116" max="5116" width="5.7109375" style="466" customWidth="1"/>
    <col min="5117" max="5117" width="5.85546875" style="466" customWidth="1"/>
    <col min="5118" max="5118" width="12.28515625" style="466" customWidth="1"/>
    <col min="5119" max="5119" width="12.7109375" style="466" customWidth="1"/>
    <col min="5120" max="5120" width="16.85546875" style="466" customWidth="1"/>
    <col min="5121" max="5121" width="12.28515625" style="466" customWidth="1"/>
    <col min="5122" max="5122" width="0" style="466" hidden="1" customWidth="1"/>
    <col min="5123" max="5123" width="11.42578125" style="466"/>
    <col min="5124" max="5124" width="13.5703125" style="466" bestFit="1" customWidth="1"/>
    <col min="5125" max="5368" width="11.42578125" style="466"/>
    <col min="5369" max="5369" width="6.5703125" style="466" customWidth="1"/>
    <col min="5370" max="5370" width="34.42578125" style="466" customWidth="1"/>
    <col min="5371" max="5371" width="4.7109375" style="466" customWidth="1"/>
    <col min="5372" max="5372" width="5.7109375" style="466" customWidth="1"/>
    <col min="5373" max="5373" width="5.85546875" style="466" customWidth="1"/>
    <col min="5374" max="5374" width="12.28515625" style="466" customWidth="1"/>
    <col min="5375" max="5375" width="12.7109375" style="466" customWidth="1"/>
    <col min="5376" max="5376" width="16.85546875" style="466" customWidth="1"/>
    <col min="5377" max="5377" width="12.28515625" style="466" customWidth="1"/>
    <col min="5378" max="5378" width="0" style="466" hidden="1" customWidth="1"/>
    <col min="5379" max="5379" width="11.42578125" style="466"/>
    <col min="5380" max="5380" width="13.5703125" style="466" bestFit="1" customWidth="1"/>
    <col min="5381" max="5624" width="11.42578125" style="466"/>
    <col min="5625" max="5625" width="6.5703125" style="466" customWidth="1"/>
    <col min="5626" max="5626" width="34.42578125" style="466" customWidth="1"/>
    <col min="5627" max="5627" width="4.7109375" style="466" customWidth="1"/>
    <col min="5628" max="5628" width="5.7109375" style="466" customWidth="1"/>
    <col min="5629" max="5629" width="5.85546875" style="466" customWidth="1"/>
    <col min="5630" max="5630" width="12.28515625" style="466" customWidth="1"/>
    <col min="5631" max="5631" width="12.7109375" style="466" customWidth="1"/>
    <col min="5632" max="5632" width="16.85546875" style="466" customWidth="1"/>
    <col min="5633" max="5633" width="12.28515625" style="466" customWidth="1"/>
    <col min="5634" max="5634" width="0" style="466" hidden="1" customWidth="1"/>
    <col min="5635" max="5635" width="11.42578125" style="466"/>
    <col min="5636" max="5636" width="13.5703125" style="466" bestFit="1" customWidth="1"/>
    <col min="5637" max="5880" width="11.42578125" style="466"/>
    <col min="5881" max="5881" width="6.5703125" style="466" customWidth="1"/>
    <col min="5882" max="5882" width="34.42578125" style="466" customWidth="1"/>
    <col min="5883" max="5883" width="4.7109375" style="466" customWidth="1"/>
    <col min="5884" max="5884" width="5.7109375" style="466" customWidth="1"/>
    <col min="5885" max="5885" width="5.85546875" style="466" customWidth="1"/>
    <col min="5886" max="5886" width="12.28515625" style="466" customWidth="1"/>
    <col min="5887" max="5887" width="12.7109375" style="466" customWidth="1"/>
    <col min="5888" max="5888" width="16.85546875" style="466" customWidth="1"/>
    <col min="5889" max="5889" width="12.28515625" style="466" customWidth="1"/>
    <col min="5890" max="5890" width="0" style="466" hidden="1" customWidth="1"/>
    <col min="5891" max="5891" width="11.42578125" style="466"/>
    <col min="5892" max="5892" width="13.5703125" style="466" bestFit="1" customWidth="1"/>
    <col min="5893" max="6136" width="11.42578125" style="466"/>
    <col min="6137" max="6137" width="6.5703125" style="466" customWidth="1"/>
    <col min="6138" max="6138" width="34.42578125" style="466" customWidth="1"/>
    <col min="6139" max="6139" width="4.7109375" style="466" customWidth="1"/>
    <col min="6140" max="6140" width="5.7109375" style="466" customWidth="1"/>
    <col min="6141" max="6141" width="5.85546875" style="466" customWidth="1"/>
    <col min="6142" max="6142" width="12.28515625" style="466" customWidth="1"/>
    <col min="6143" max="6143" width="12.7109375" style="466" customWidth="1"/>
    <col min="6144" max="6144" width="16.85546875" style="466" customWidth="1"/>
    <col min="6145" max="6145" width="12.28515625" style="466" customWidth="1"/>
    <col min="6146" max="6146" width="0" style="466" hidden="1" customWidth="1"/>
    <col min="6147" max="6147" width="11.42578125" style="466"/>
    <col min="6148" max="6148" width="13.5703125" style="466" bestFit="1" customWidth="1"/>
    <col min="6149" max="6392" width="11.42578125" style="466"/>
    <col min="6393" max="6393" width="6.5703125" style="466" customWidth="1"/>
    <col min="6394" max="6394" width="34.42578125" style="466" customWidth="1"/>
    <col min="6395" max="6395" width="4.7109375" style="466" customWidth="1"/>
    <col min="6396" max="6396" width="5.7109375" style="466" customWidth="1"/>
    <col min="6397" max="6397" width="5.85546875" style="466" customWidth="1"/>
    <col min="6398" max="6398" width="12.28515625" style="466" customWidth="1"/>
    <col min="6399" max="6399" width="12.7109375" style="466" customWidth="1"/>
    <col min="6400" max="6400" width="16.85546875" style="466" customWidth="1"/>
    <col min="6401" max="6401" width="12.28515625" style="466" customWidth="1"/>
    <col min="6402" max="6402" width="0" style="466" hidden="1" customWidth="1"/>
    <col min="6403" max="6403" width="11.42578125" style="466"/>
    <col min="6404" max="6404" width="13.5703125" style="466" bestFit="1" customWidth="1"/>
    <col min="6405" max="6648" width="11.42578125" style="466"/>
    <col min="6649" max="6649" width="6.5703125" style="466" customWidth="1"/>
    <col min="6650" max="6650" width="34.42578125" style="466" customWidth="1"/>
    <col min="6651" max="6651" width="4.7109375" style="466" customWidth="1"/>
    <col min="6652" max="6652" width="5.7109375" style="466" customWidth="1"/>
    <col min="6653" max="6653" width="5.85546875" style="466" customWidth="1"/>
    <col min="6654" max="6654" width="12.28515625" style="466" customWidth="1"/>
    <col min="6655" max="6655" width="12.7109375" style="466" customWidth="1"/>
    <col min="6656" max="6656" width="16.85546875" style="466" customWidth="1"/>
    <col min="6657" max="6657" width="12.28515625" style="466" customWidth="1"/>
    <col min="6658" max="6658" width="0" style="466" hidden="1" customWidth="1"/>
    <col min="6659" max="6659" width="11.42578125" style="466"/>
    <col min="6660" max="6660" width="13.5703125" style="466" bestFit="1" customWidth="1"/>
    <col min="6661" max="6904" width="11.42578125" style="466"/>
    <col min="6905" max="6905" width="6.5703125" style="466" customWidth="1"/>
    <col min="6906" max="6906" width="34.42578125" style="466" customWidth="1"/>
    <col min="6907" max="6907" width="4.7109375" style="466" customWidth="1"/>
    <col min="6908" max="6908" width="5.7109375" style="466" customWidth="1"/>
    <col min="6909" max="6909" width="5.85546875" style="466" customWidth="1"/>
    <col min="6910" max="6910" width="12.28515625" style="466" customWidth="1"/>
    <col min="6911" max="6911" width="12.7109375" style="466" customWidth="1"/>
    <col min="6912" max="6912" width="16.85546875" style="466" customWidth="1"/>
    <col min="6913" max="6913" width="12.28515625" style="466" customWidth="1"/>
    <col min="6914" max="6914" width="0" style="466" hidden="1" customWidth="1"/>
    <col min="6915" max="6915" width="11.42578125" style="466"/>
    <col min="6916" max="6916" width="13.5703125" style="466" bestFit="1" customWidth="1"/>
    <col min="6917" max="7160" width="11.42578125" style="466"/>
    <col min="7161" max="7161" width="6.5703125" style="466" customWidth="1"/>
    <col min="7162" max="7162" width="34.42578125" style="466" customWidth="1"/>
    <col min="7163" max="7163" width="4.7109375" style="466" customWidth="1"/>
    <col min="7164" max="7164" width="5.7109375" style="466" customWidth="1"/>
    <col min="7165" max="7165" width="5.85546875" style="466" customWidth="1"/>
    <col min="7166" max="7166" width="12.28515625" style="466" customWidth="1"/>
    <col min="7167" max="7167" width="12.7109375" style="466" customWidth="1"/>
    <col min="7168" max="7168" width="16.85546875" style="466" customWidth="1"/>
    <col min="7169" max="7169" width="12.28515625" style="466" customWidth="1"/>
    <col min="7170" max="7170" width="0" style="466" hidden="1" customWidth="1"/>
    <col min="7171" max="7171" width="11.42578125" style="466"/>
    <col min="7172" max="7172" width="13.5703125" style="466" bestFit="1" customWidth="1"/>
    <col min="7173" max="7416" width="11.42578125" style="466"/>
    <col min="7417" max="7417" width="6.5703125" style="466" customWidth="1"/>
    <col min="7418" max="7418" width="34.42578125" style="466" customWidth="1"/>
    <col min="7419" max="7419" width="4.7109375" style="466" customWidth="1"/>
    <col min="7420" max="7420" width="5.7109375" style="466" customWidth="1"/>
    <col min="7421" max="7421" width="5.85546875" style="466" customWidth="1"/>
    <col min="7422" max="7422" width="12.28515625" style="466" customWidth="1"/>
    <col min="7423" max="7423" width="12.7109375" style="466" customWidth="1"/>
    <col min="7424" max="7424" width="16.85546875" style="466" customWidth="1"/>
    <col min="7425" max="7425" width="12.28515625" style="466" customWidth="1"/>
    <col min="7426" max="7426" width="0" style="466" hidden="1" customWidth="1"/>
    <col min="7427" max="7427" width="11.42578125" style="466"/>
    <col min="7428" max="7428" width="13.5703125" style="466" bestFit="1" customWidth="1"/>
    <col min="7429" max="7672" width="11.42578125" style="466"/>
    <col min="7673" max="7673" width="6.5703125" style="466" customWidth="1"/>
    <col min="7674" max="7674" width="34.42578125" style="466" customWidth="1"/>
    <col min="7675" max="7675" width="4.7109375" style="466" customWidth="1"/>
    <col min="7676" max="7676" width="5.7109375" style="466" customWidth="1"/>
    <col min="7677" max="7677" width="5.85546875" style="466" customWidth="1"/>
    <col min="7678" max="7678" width="12.28515625" style="466" customWidth="1"/>
    <col min="7679" max="7679" width="12.7109375" style="466" customWidth="1"/>
    <col min="7680" max="7680" width="16.85546875" style="466" customWidth="1"/>
    <col min="7681" max="7681" width="12.28515625" style="466" customWidth="1"/>
    <col min="7682" max="7682" width="0" style="466" hidden="1" customWidth="1"/>
    <col min="7683" max="7683" width="11.42578125" style="466"/>
    <col min="7684" max="7684" width="13.5703125" style="466" bestFit="1" customWidth="1"/>
    <col min="7685" max="7928" width="11.42578125" style="466"/>
    <col min="7929" max="7929" width="6.5703125" style="466" customWidth="1"/>
    <col min="7930" max="7930" width="34.42578125" style="466" customWidth="1"/>
    <col min="7931" max="7931" width="4.7109375" style="466" customWidth="1"/>
    <col min="7932" max="7932" width="5.7109375" style="466" customWidth="1"/>
    <col min="7933" max="7933" width="5.85546875" style="466" customWidth="1"/>
    <col min="7934" max="7934" width="12.28515625" style="466" customWidth="1"/>
    <col min="7935" max="7935" width="12.7109375" style="466" customWidth="1"/>
    <col min="7936" max="7936" width="16.85546875" style="466" customWidth="1"/>
    <col min="7937" max="7937" width="12.28515625" style="466" customWidth="1"/>
    <col min="7938" max="7938" width="0" style="466" hidden="1" customWidth="1"/>
    <col min="7939" max="7939" width="11.42578125" style="466"/>
    <col min="7940" max="7940" width="13.5703125" style="466" bestFit="1" customWidth="1"/>
    <col min="7941" max="8184" width="11.42578125" style="466"/>
    <col min="8185" max="8185" width="6.5703125" style="466" customWidth="1"/>
    <col min="8186" max="8186" width="34.42578125" style="466" customWidth="1"/>
    <col min="8187" max="8187" width="4.7109375" style="466" customWidth="1"/>
    <col min="8188" max="8188" width="5.7109375" style="466" customWidth="1"/>
    <col min="8189" max="8189" width="5.85546875" style="466" customWidth="1"/>
    <col min="8190" max="8190" width="12.28515625" style="466" customWidth="1"/>
    <col min="8191" max="8191" width="12.7109375" style="466" customWidth="1"/>
    <col min="8192" max="8192" width="16.85546875" style="466" customWidth="1"/>
    <col min="8193" max="8193" width="12.28515625" style="466" customWidth="1"/>
    <col min="8194" max="8194" width="0" style="466" hidden="1" customWidth="1"/>
    <col min="8195" max="8195" width="11.42578125" style="466"/>
    <col min="8196" max="8196" width="13.5703125" style="466" bestFit="1" customWidth="1"/>
    <col min="8197" max="8440" width="11.42578125" style="466"/>
    <col min="8441" max="8441" width="6.5703125" style="466" customWidth="1"/>
    <col min="8442" max="8442" width="34.42578125" style="466" customWidth="1"/>
    <col min="8443" max="8443" width="4.7109375" style="466" customWidth="1"/>
    <col min="8444" max="8444" width="5.7109375" style="466" customWidth="1"/>
    <col min="8445" max="8445" width="5.85546875" style="466" customWidth="1"/>
    <col min="8446" max="8446" width="12.28515625" style="466" customWidth="1"/>
    <col min="8447" max="8447" width="12.7109375" style="466" customWidth="1"/>
    <col min="8448" max="8448" width="16.85546875" style="466" customWidth="1"/>
    <col min="8449" max="8449" width="12.28515625" style="466" customWidth="1"/>
    <col min="8450" max="8450" width="0" style="466" hidden="1" customWidth="1"/>
    <col min="8451" max="8451" width="11.42578125" style="466"/>
    <col min="8452" max="8452" width="13.5703125" style="466" bestFit="1" customWidth="1"/>
    <col min="8453" max="8696" width="11.42578125" style="466"/>
    <col min="8697" max="8697" width="6.5703125" style="466" customWidth="1"/>
    <col min="8698" max="8698" width="34.42578125" style="466" customWidth="1"/>
    <col min="8699" max="8699" width="4.7109375" style="466" customWidth="1"/>
    <col min="8700" max="8700" width="5.7109375" style="466" customWidth="1"/>
    <col min="8701" max="8701" width="5.85546875" style="466" customWidth="1"/>
    <col min="8702" max="8702" width="12.28515625" style="466" customWidth="1"/>
    <col min="8703" max="8703" width="12.7109375" style="466" customWidth="1"/>
    <col min="8704" max="8704" width="16.85546875" style="466" customWidth="1"/>
    <col min="8705" max="8705" width="12.28515625" style="466" customWidth="1"/>
    <col min="8706" max="8706" width="0" style="466" hidden="1" customWidth="1"/>
    <col min="8707" max="8707" width="11.42578125" style="466"/>
    <col min="8708" max="8708" width="13.5703125" style="466" bestFit="1" customWidth="1"/>
    <col min="8709" max="8952" width="11.42578125" style="466"/>
    <col min="8953" max="8953" width="6.5703125" style="466" customWidth="1"/>
    <col min="8954" max="8954" width="34.42578125" style="466" customWidth="1"/>
    <col min="8955" max="8955" width="4.7109375" style="466" customWidth="1"/>
    <col min="8956" max="8956" width="5.7109375" style="466" customWidth="1"/>
    <col min="8957" max="8957" width="5.85546875" style="466" customWidth="1"/>
    <col min="8958" max="8958" width="12.28515625" style="466" customWidth="1"/>
    <col min="8959" max="8959" width="12.7109375" style="466" customWidth="1"/>
    <col min="8960" max="8960" width="16.85546875" style="466" customWidth="1"/>
    <col min="8961" max="8961" width="12.28515625" style="466" customWidth="1"/>
    <col min="8962" max="8962" width="0" style="466" hidden="1" customWidth="1"/>
    <col min="8963" max="8963" width="11.42578125" style="466"/>
    <col min="8964" max="8964" width="13.5703125" style="466" bestFit="1" customWidth="1"/>
    <col min="8965" max="9208" width="11.42578125" style="466"/>
    <col min="9209" max="9209" width="6.5703125" style="466" customWidth="1"/>
    <col min="9210" max="9210" width="34.42578125" style="466" customWidth="1"/>
    <col min="9211" max="9211" width="4.7109375" style="466" customWidth="1"/>
    <col min="9212" max="9212" width="5.7109375" style="466" customWidth="1"/>
    <col min="9213" max="9213" width="5.85546875" style="466" customWidth="1"/>
    <col min="9214" max="9214" width="12.28515625" style="466" customWidth="1"/>
    <col min="9215" max="9215" width="12.7109375" style="466" customWidth="1"/>
    <col min="9216" max="9216" width="16.85546875" style="466" customWidth="1"/>
    <col min="9217" max="9217" width="12.28515625" style="466" customWidth="1"/>
    <col min="9218" max="9218" width="0" style="466" hidden="1" customWidth="1"/>
    <col min="9219" max="9219" width="11.42578125" style="466"/>
    <col min="9220" max="9220" width="13.5703125" style="466" bestFit="1" customWidth="1"/>
    <col min="9221" max="9464" width="11.42578125" style="466"/>
    <col min="9465" max="9465" width="6.5703125" style="466" customWidth="1"/>
    <col min="9466" max="9466" width="34.42578125" style="466" customWidth="1"/>
    <col min="9467" max="9467" width="4.7109375" style="466" customWidth="1"/>
    <col min="9468" max="9468" width="5.7109375" style="466" customWidth="1"/>
    <col min="9469" max="9469" width="5.85546875" style="466" customWidth="1"/>
    <col min="9470" max="9470" width="12.28515625" style="466" customWidth="1"/>
    <col min="9471" max="9471" width="12.7109375" style="466" customWidth="1"/>
    <col min="9472" max="9472" width="16.85546875" style="466" customWidth="1"/>
    <col min="9473" max="9473" width="12.28515625" style="466" customWidth="1"/>
    <col min="9474" max="9474" width="0" style="466" hidden="1" customWidth="1"/>
    <col min="9475" max="9475" width="11.42578125" style="466"/>
    <col min="9476" max="9476" width="13.5703125" style="466" bestFit="1" customWidth="1"/>
    <col min="9477" max="9720" width="11.42578125" style="466"/>
    <col min="9721" max="9721" width="6.5703125" style="466" customWidth="1"/>
    <col min="9722" max="9722" width="34.42578125" style="466" customWidth="1"/>
    <col min="9723" max="9723" width="4.7109375" style="466" customWidth="1"/>
    <col min="9724" max="9724" width="5.7109375" style="466" customWidth="1"/>
    <col min="9725" max="9725" width="5.85546875" style="466" customWidth="1"/>
    <col min="9726" max="9726" width="12.28515625" style="466" customWidth="1"/>
    <col min="9727" max="9727" width="12.7109375" style="466" customWidth="1"/>
    <col min="9728" max="9728" width="16.85546875" style="466" customWidth="1"/>
    <col min="9729" max="9729" width="12.28515625" style="466" customWidth="1"/>
    <col min="9730" max="9730" width="0" style="466" hidden="1" customWidth="1"/>
    <col min="9731" max="9731" width="11.42578125" style="466"/>
    <col min="9732" max="9732" width="13.5703125" style="466" bestFit="1" customWidth="1"/>
    <col min="9733" max="9976" width="11.42578125" style="466"/>
    <col min="9977" max="9977" width="6.5703125" style="466" customWidth="1"/>
    <col min="9978" max="9978" width="34.42578125" style="466" customWidth="1"/>
    <col min="9979" max="9979" width="4.7109375" style="466" customWidth="1"/>
    <col min="9980" max="9980" width="5.7109375" style="466" customWidth="1"/>
    <col min="9981" max="9981" width="5.85546875" style="466" customWidth="1"/>
    <col min="9982" max="9982" width="12.28515625" style="466" customWidth="1"/>
    <col min="9983" max="9983" width="12.7109375" style="466" customWidth="1"/>
    <col min="9984" max="9984" width="16.85546875" style="466" customWidth="1"/>
    <col min="9985" max="9985" width="12.28515625" style="466" customWidth="1"/>
    <col min="9986" max="9986" width="0" style="466" hidden="1" customWidth="1"/>
    <col min="9987" max="9987" width="11.42578125" style="466"/>
    <col min="9988" max="9988" width="13.5703125" style="466" bestFit="1" customWidth="1"/>
    <col min="9989" max="10232" width="11.42578125" style="466"/>
    <col min="10233" max="10233" width="6.5703125" style="466" customWidth="1"/>
    <col min="10234" max="10234" width="34.42578125" style="466" customWidth="1"/>
    <col min="10235" max="10235" width="4.7109375" style="466" customWidth="1"/>
    <col min="10236" max="10236" width="5.7109375" style="466" customWidth="1"/>
    <col min="10237" max="10237" width="5.85546875" style="466" customWidth="1"/>
    <col min="10238" max="10238" width="12.28515625" style="466" customWidth="1"/>
    <col min="10239" max="10239" width="12.7109375" style="466" customWidth="1"/>
    <col min="10240" max="10240" width="16.85546875" style="466" customWidth="1"/>
    <col min="10241" max="10241" width="12.28515625" style="466" customWidth="1"/>
    <col min="10242" max="10242" width="0" style="466" hidden="1" customWidth="1"/>
    <col min="10243" max="10243" width="11.42578125" style="466"/>
    <col min="10244" max="10244" width="13.5703125" style="466" bestFit="1" customWidth="1"/>
    <col min="10245" max="10488" width="11.42578125" style="466"/>
    <col min="10489" max="10489" width="6.5703125" style="466" customWidth="1"/>
    <col min="10490" max="10490" width="34.42578125" style="466" customWidth="1"/>
    <col min="10491" max="10491" width="4.7109375" style="466" customWidth="1"/>
    <col min="10492" max="10492" width="5.7109375" style="466" customWidth="1"/>
    <col min="10493" max="10493" width="5.85546875" style="466" customWidth="1"/>
    <col min="10494" max="10494" width="12.28515625" style="466" customWidth="1"/>
    <col min="10495" max="10495" width="12.7109375" style="466" customWidth="1"/>
    <col min="10496" max="10496" width="16.85546875" style="466" customWidth="1"/>
    <col min="10497" max="10497" width="12.28515625" style="466" customWidth="1"/>
    <col min="10498" max="10498" width="0" style="466" hidden="1" customWidth="1"/>
    <col min="10499" max="10499" width="11.42578125" style="466"/>
    <col min="10500" max="10500" width="13.5703125" style="466" bestFit="1" customWidth="1"/>
    <col min="10501" max="10744" width="11.42578125" style="466"/>
    <col min="10745" max="10745" width="6.5703125" style="466" customWidth="1"/>
    <col min="10746" max="10746" width="34.42578125" style="466" customWidth="1"/>
    <col min="10747" max="10747" width="4.7109375" style="466" customWidth="1"/>
    <col min="10748" max="10748" width="5.7109375" style="466" customWidth="1"/>
    <col min="10749" max="10749" width="5.85546875" style="466" customWidth="1"/>
    <col min="10750" max="10750" width="12.28515625" style="466" customWidth="1"/>
    <col min="10751" max="10751" width="12.7109375" style="466" customWidth="1"/>
    <col min="10752" max="10752" width="16.85546875" style="466" customWidth="1"/>
    <col min="10753" max="10753" width="12.28515625" style="466" customWidth="1"/>
    <col min="10754" max="10754" width="0" style="466" hidden="1" customWidth="1"/>
    <col min="10755" max="10755" width="11.42578125" style="466"/>
    <col min="10756" max="10756" width="13.5703125" style="466" bestFit="1" customWidth="1"/>
    <col min="10757" max="11000" width="11.42578125" style="466"/>
    <col min="11001" max="11001" width="6.5703125" style="466" customWidth="1"/>
    <col min="11002" max="11002" width="34.42578125" style="466" customWidth="1"/>
    <col min="11003" max="11003" width="4.7109375" style="466" customWidth="1"/>
    <col min="11004" max="11004" width="5.7109375" style="466" customWidth="1"/>
    <col min="11005" max="11005" width="5.85546875" style="466" customWidth="1"/>
    <col min="11006" max="11006" width="12.28515625" style="466" customWidth="1"/>
    <col min="11007" max="11007" width="12.7109375" style="466" customWidth="1"/>
    <col min="11008" max="11008" width="16.85546875" style="466" customWidth="1"/>
    <col min="11009" max="11009" width="12.28515625" style="466" customWidth="1"/>
    <col min="11010" max="11010" width="0" style="466" hidden="1" customWidth="1"/>
    <col min="11011" max="11011" width="11.42578125" style="466"/>
    <col min="11012" max="11012" width="13.5703125" style="466" bestFit="1" customWidth="1"/>
    <col min="11013" max="11256" width="11.42578125" style="466"/>
    <col min="11257" max="11257" width="6.5703125" style="466" customWidth="1"/>
    <col min="11258" max="11258" width="34.42578125" style="466" customWidth="1"/>
    <col min="11259" max="11259" width="4.7109375" style="466" customWidth="1"/>
    <col min="11260" max="11260" width="5.7109375" style="466" customWidth="1"/>
    <col min="11261" max="11261" width="5.85546875" style="466" customWidth="1"/>
    <col min="11262" max="11262" width="12.28515625" style="466" customWidth="1"/>
    <col min="11263" max="11263" width="12.7109375" style="466" customWidth="1"/>
    <col min="11264" max="11264" width="16.85546875" style="466" customWidth="1"/>
    <col min="11265" max="11265" width="12.28515625" style="466" customWidth="1"/>
    <col min="11266" max="11266" width="0" style="466" hidden="1" customWidth="1"/>
    <col min="11267" max="11267" width="11.42578125" style="466"/>
    <col min="11268" max="11268" width="13.5703125" style="466" bestFit="1" customWidth="1"/>
    <col min="11269" max="11512" width="11.42578125" style="466"/>
    <col min="11513" max="11513" width="6.5703125" style="466" customWidth="1"/>
    <col min="11514" max="11514" width="34.42578125" style="466" customWidth="1"/>
    <col min="11515" max="11515" width="4.7109375" style="466" customWidth="1"/>
    <col min="11516" max="11516" width="5.7109375" style="466" customWidth="1"/>
    <col min="11517" max="11517" width="5.85546875" style="466" customWidth="1"/>
    <col min="11518" max="11518" width="12.28515625" style="466" customWidth="1"/>
    <col min="11519" max="11519" width="12.7109375" style="466" customWidth="1"/>
    <col min="11520" max="11520" width="16.85546875" style="466" customWidth="1"/>
    <col min="11521" max="11521" width="12.28515625" style="466" customWidth="1"/>
    <col min="11522" max="11522" width="0" style="466" hidden="1" customWidth="1"/>
    <col min="11523" max="11523" width="11.42578125" style="466"/>
    <col min="11524" max="11524" width="13.5703125" style="466" bestFit="1" customWidth="1"/>
    <col min="11525" max="11768" width="11.42578125" style="466"/>
    <col min="11769" max="11769" width="6.5703125" style="466" customWidth="1"/>
    <col min="11770" max="11770" width="34.42578125" style="466" customWidth="1"/>
    <col min="11771" max="11771" width="4.7109375" style="466" customWidth="1"/>
    <col min="11772" max="11772" width="5.7109375" style="466" customWidth="1"/>
    <col min="11773" max="11773" width="5.85546875" style="466" customWidth="1"/>
    <col min="11774" max="11774" width="12.28515625" style="466" customWidth="1"/>
    <col min="11775" max="11775" width="12.7109375" style="466" customWidth="1"/>
    <col min="11776" max="11776" width="16.85546875" style="466" customWidth="1"/>
    <col min="11777" max="11777" width="12.28515625" style="466" customWidth="1"/>
    <col min="11778" max="11778" width="0" style="466" hidden="1" customWidth="1"/>
    <col min="11779" max="11779" width="11.42578125" style="466"/>
    <col min="11780" max="11780" width="13.5703125" style="466" bestFit="1" customWidth="1"/>
    <col min="11781" max="12024" width="11.42578125" style="466"/>
    <col min="12025" max="12025" width="6.5703125" style="466" customWidth="1"/>
    <col min="12026" max="12026" width="34.42578125" style="466" customWidth="1"/>
    <col min="12027" max="12027" width="4.7109375" style="466" customWidth="1"/>
    <col min="12028" max="12028" width="5.7109375" style="466" customWidth="1"/>
    <col min="12029" max="12029" width="5.85546875" style="466" customWidth="1"/>
    <col min="12030" max="12030" width="12.28515625" style="466" customWidth="1"/>
    <col min="12031" max="12031" width="12.7109375" style="466" customWidth="1"/>
    <col min="12032" max="12032" width="16.85546875" style="466" customWidth="1"/>
    <col min="12033" max="12033" width="12.28515625" style="466" customWidth="1"/>
    <col min="12034" max="12034" width="0" style="466" hidden="1" customWidth="1"/>
    <col min="12035" max="12035" width="11.42578125" style="466"/>
    <col min="12036" max="12036" width="13.5703125" style="466" bestFit="1" customWidth="1"/>
    <col min="12037" max="12280" width="11.42578125" style="466"/>
    <col min="12281" max="12281" width="6.5703125" style="466" customWidth="1"/>
    <col min="12282" max="12282" width="34.42578125" style="466" customWidth="1"/>
    <col min="12283" max="12283" width="4.7109375" style="466" customWidth="1"/>
    <col min="12284" max="12284" width="5.7109375" style="466" customWidth="1"/>
    <col min="12285" max="12285" width="5.85546875" style="466" customWidth="1"/>
    <col min="12286" max="12286" width="12.28515625" style="466" customWidth="1"/>
    <col min="12287" max="12287" width="12.7109375" style="466" customWidth="1"/>
    <col min="12288" max="12288" width="16.85546875" style="466" customWidth="1"/>
    <col min="12289" max="12289" width="12.28515625" style="466" customWidth="1"/>
    <col min="12290" max="12290" width="0" style="466" hidden="1" customWidth="1"/>
    <col min="12291" max="12291" width="11.42578125" style="466"/>
    <col min="12292" max="12292" width="13.5703125" style="466" bestFit="1" customWidth="1"/>
    <col min="12293" max="12536" width="11.42578125" style="466"/>
    <col min="12537" max="12537" width="6.5703125" style="466" customWidth="1"/>
    <col min="12538" max="12538" width="34.42578125" style="466" customWidth="1"/>
    <col min="12539" max="12539" width="4.7109375" style="466" customWidth="1"/>
    <col min="12540" max="12540" width="5.7109375" style="466" customWidth="1"/>
    <col min="12541" max="12541" width="5.85546875" style="466" customWidth="1"/>
    <col min="12542" max="12542" width="12.28515625" style="466" customWidth="1"/>
    <col min="12543" max="12543" width="12.7109375" style="466" customWidth="1"/>
    <col min="12544" max="12544" width="16.85546875" style="466" customWidth="1"/>
    <col min="12545" max="12545" width="12.28515625" style="466" customWidth="1"/>
    <col min="12546" max="12546" width="0" style="466" hidden="1" customWidth="1"/>
    <col min="12547" max="12547" width="11.42578125" style="466"/>
    <col min="12548" max="12548" width="13.5703125" style="466" bestFit="1" customWidth="1"/>
    <col min="12549" max="12792" width="11.42578125" style="466"/>
    <col min="12793" max="12793" width="6.5703125" style="466" customWidth="1"/>
    <col min="12794" max="12794" width="34.42578125" style="466" customWidth="1"/>
    <col min="12795" max="12795" width="4.7109375" style="466" customWidth="1"/>
    <col min="12796" max="12796" width="5.7109375" style="466" customWidth="1"/>
    <col min="12797" max="12797" width="5.85546875" style="466" customWidth="1"/>
    <col min="12798" max="12798" width="12.28515625" style="466" customWidth="1"/>
    <col min="12799" max="12799" width="12.7109375" style="466" customWidth="1"/>
    <col min="12800" max="12800" width="16.85546875" style="466" customWidth="1"/>
    <col min="12801" max="12801" width="12.28515625" style="466" customWidth="1"/>
    <col min="12802" max="12802" width="0" style="466" hidden="1" customWidth="1"/>
    <col min="12803" max="12803" width="11.42578125" style="466"/>
    <col min="12804" max="12804" width="13.5703125" style="466" bestFit="1" customWidth="1"/>
    <col min="12805" max="13048" width="11.42578125" style="466"/>
    <col min="13049" max="13049" width="6.5703125" style="466" customWidth="1"/>
    <col min="13050" max="13050" width="34.42578125" style="466" customWidth="1"/>
    <col min="13051" max="13051" width="4.7109375" style="466" customWidth="1"/>
    <col min="13052" max="13052" width="5.7109375" style="466" customWidth="1"/>
    <col min="13053" max="13053" width="5.85546875" style="466" customWidth="1"/>
    <col min="13054" max="13054" width="12.28515625" style="466" customWidth="1"/>
    <col min="13055" max="13055" width="12.7109375" style="466" customWidth="1"/>
    <col min="13056" max="13056" width="16.85546875" style="466" customWidth="1"/>
    <col min="13057" max="13057" width="12.28515625" style="466" customWidth="1"/>
    <col min="13058" max="13058" width="0" style="466" hidden="1" customWidth="1"/>
    <col min="13059" max="13059" width="11.42578125" style="466"/>
    <col min="13060" max="13060" width="13.5703125" style="466" bestFit="1" customWidth="1"/>
    <col min="13061" max="13304" width="11.42578125" style="466"/>
    <col min="13305" max="13305" width="6.5703125" style="466" customWidth="1"/>
    <col min="13306" max="13306" width="34.42578125" style="466" customWidth="1"/>
    <col min="13307" max="13307" width="4.7109375" style="466" customWidth="1"/>
    <col min="13308" max="13308" width="5.7109375" style="466" customWidth="1"/>
    <col min="13309" max="13309" width="5.85546875" style="466" customWidth="1"/>
    <col min="13310" max="13310" width="12.28515625" style="466" customWidth="1"/>
    <col min="13311" max="13311" width="12.7109375" style="466" customWidth="1"/>
    <col min="13312" max="13312" width="16.85546875" style="466" customWidth="1"/>
    <col min="13313" max="13313" width="12.28515625" style="466" customWidth="1"/>
    <col min="13314" max="13314" width="0" style="466" hidden="1" customWidth="1"/>
    <col min="13315" max="13315" width="11.42578125" style="466"/>
    <col min="13316" max="13316" width="13.5703125" style="466" bestFit="1" customWidth="1"/>
    <col min="13317" max="13560" width="11.42578125" style="466"/>
    <col min="13561" max="13561" width="6.5703125" style="466" customWidth="1"/>
    <col min="13562" max="13562" width="34.42578125" style="466" customWidth="1"/>
    <col min="13563" max="13563" width="4.7109375" style="466" customWidth="1"/>
    <col min="13564" max="13564" width="5.7109375" style="466" customWidth="1"/>
    <col min="13565" max="13565" width="5.85546875" style="466" customWidth="1"/>
    <col min="13566" max="13566" width="12.28515625" style="466" customWidth="1"/>
    <col min="13567" max="13567" width="12.7109375" style="466" customWidth="1"/>
    <col min="13568" max="13568" width="16.85546875" style="466" customWidth="1"/>
    <col min="13569" max="13569" width="12.28515625" style="466" customWidth="1"/>
    <col min="13570" max="13570" width="0" style="466" hidden="1" customWidth="1"/>
    <col min="13571" max="13571" width="11.42578125" style="466"/>
    <col min="13572" max="13572" width="13.5703125" style="466" bestFit="1" customWidth="1"/>
    <col min="13573" max="13816" width="11.42578125" style="466"/>
    <col min="13817" max="13817" width="6.5703125" style="466" customWidth="1"/>
    <col min="13818" max="13818" width="34.42578125" style="466" customWidth="1"/>
    <col min="13819" max="13819" width="4.7109375" style="466" customWidth="1"/>
    <col min="13820" max="13820" width="5.7109375" style="466" customWidth="1"/>
    <col min="13821" max="13821" width="5.85546875" style="466" customWidth="1"/>
    <col min="13822" max="13822" width="12.28515625" style="466" customWidth="1"/>
    <col min="13823" max="13823" width="12.7109375" style="466" customWidth="1"/>
    <col min="13824" max="13824" width="16.85546875" style="466" customWidth="1"/>
    <col min="13825" max="13825" width="12.28515625" style="466" customWidth="1"/>
    <col min="13826" max="13826" width="0" style="466" hidden="1" customWidth="1"/>
    <col min="13827" max="13827" width="11.42578125" style="466"/>
    <col min="13828" max="13828" width="13.5703125" style="466" bestFit="1" customWidth="1"/>
    <col min="13829" max="14072" width="11.42578125" style="466"/>
    <col min="14073" max="14073" width="6.5703125" style="466" customWidth="1"/>
    <col min="14074" max="14074" width="34.42578125" style="466" customWidth="1"/>
    <col min="14075" max="14075" width="4.7109375" style="466" customWidth="1"/>
    <col min="14076" max="14076" width="5.7109375" style="466" customWidth="1"/>
    <col min="14077" max="14077" width="5.85546875" style="466" customWidth="1"/>
    <col min="14078" max="14078" width="12.28515625" style="466" customWidth="1"/>
    <col min="14079" max="14079" width="12.7109375" style="466" customWidth="1"/>
    <col min="14080" max="14080" width="16.85546875" style="466" customWidth="1"/>
    <col min="14081" max="14081" width="12.28515625" style="466" customWidth="1"/>
    <col min="14082" max="14082" width="0" style="466" hidden="1" customWidth="1"/>
    <col min="14083" max="14083" width="11.42578125" style="466"/>
    <col min="14084" max="14084" width="13.5703125" style="466" bestFit="1" customWidth="1"/>
    <col min="14085" max="14328" width="11.42578125" style="466"/>
    <col min="14329" max="14329" width="6.5703125" style="466" customWidth="1"/>
    <col min="14330" max="14330" width="34.42578125" style="466" customWidth="1"/>
    <col min="14331" max="14331" width="4.7109375" style="466" customWidth="1"/>
    <col min="14332" max="14332" width="5.7109375" style="466" customWidth="1"/>
    <col min="14333" max="14333" width="5.85546875" style="466" customWidth="1"/>
    <col min="14334" max="14334" width="12.28515625" style="466" customWidth="1"/>
    <col min="14335" max="14335" width="12.7109375" style="466" customWidth="1"/>
    <col min="14336" max="14336" width="16.85546875" style="466" customWidth="1"/>
    <col min="14337" max="14337" width="12.28515625" style="466" customWidth="1"/>
    <col min="14338" max="14338" width="0" style="466" hidden="1" customWidth="1"/>
    <col min="14339" max="14339" width="11.42578125" style="466"/>
    <col min="14340" max="14340" width="13.5703125" style="466" bestFit="1" customWidth="1"/>
    <col min="14341" max="14584" width="11.42578125" style="466"/>
    <col min="14585" max="14585" width="6.5703125" style="466" customWidth="1"/>
    <col min="14586" max="14586" width="34.42578125" style="466" customWidth="1"/>
    <col min="14587" max="14587" width="4.7109375" style="466" customWidth="1"/>
    <col min="14588" max="14588" width="5.7109375" style="466" customWidth="1"/>
    <col min="14589" max="14589" width="5.85546875" style="466" customWidth="1"/>
    <col min="14590" max="14590" width="12.28515625" style="466" customWidth="1"/>
    <col min="14591" max="14591" width="12.7109375" style="466" customWidth="1"/>
    <col min="14592" max="14592" width="16.85546875" style="466" customWidth="1"/>
    <col min="14593" max="14593" width="12.28515625" style="466" customWidth="1"/>
    <col min="14594" max="14594" width="0" style="466" hidden="1" customWidth="1"/>
    <col min="14595" max="14595" width="11.42578125" style="466"/>
    <col min="14596" max="14596" width="13.5703125" style="466" bestFit="1" customWidth="1"/>
    <col min="14597" max="14840" width="11.42578125" style="466"/>
    <col min="14841" max="14841" width="6.5703125" style="466" customWidth="1"/>
    <col min="14842" max="14842" width="34.42578125" style="466" customWidth="1"/>
    <col min="14843" max="14843" width="4.7109375" style="466" customWidth="1"/>
    <col min="14844" max="14844" width="5.7109375" style="466" customWidth="1"/>
    <col min="14845" max="14845" width="5.85546875" style="466" customWidth="1"/>
    <col min="14846" max="14846" width="12.28515625" style="466" customWidth="1"/>
    <col min="14847" max="14847" width="12.7109375" style="466" customWidth="1"/>
    <col min="14848" max="14848" width="16.85546875" style="466" customWidth="1"/>
    <col min="14849" max="14849" width="12.28515625" style="466" customWidth="1"/>
    <col min="14850" max="14850" width="0" style="466" hidden="1" customWidth="1"/>
    <col min="14851" max="14851" width="11.42578125" style="466"/>
    <col min="14852" max="14852" width="13.5703125" style="466" bestFit="1" customWidth="1"/>
    <col min="14853" max="15096" width="11.42578125" style="466"/>
    <col min="15097" max="15097" width="6.5703125" style="466" customWidth="1"/>
    <col min="15098" max="15098" width="34.42578125" style="466" customWidth="1"/>
    <col min="15099" max="15099" width="4.7109375" style="466" customWidth="1"/>
    <col min="15100" max="15100" width="5.7109375" style="466" customWidth="1"/>
    <col min="15101" max="15101" width="5.85546875" style="466" customWidth="1"/>
    <col min="15102" max="15102" width="12.28515625" style="466" customWidth="1"/>
    <col min="15103" max="15103" width="12.7109375" style="466" customWidth="1"/>
    <col min="15104" max="15104" width="16.85546875" style="466" customWidth="1"/>
    <col min="15105" max="15105" width="12.28515625" style="466" customWidth="1"/>
    <col min="15106" max="15106" width="0" style="466" hidden="1" customWidth="1"/>
    <col min="15107" max="15107" width="11.42578125" style="466"/>
    <col min="15108" max="15108" width="13.5703125" style="466" bestFit="1" customWidth="1"/>
    <col min="15109" max="15352" width="11.42578125" style="466"/>
    <col min="15353" max="15353" width="6.5703125" style="466" customWidth="1"/>
    <col min="15354" max="15354" width="34.42578125" style="466" customWidth="1"/>
    <col min="15355" max="15355" width="4.7109375" style="466" customWidth="1"/>
    <col min="15356" max="15356" width="5.7109375" style="466" customWidth="1"/>
    <col min="15357" max="15357" width="5.85546875" style="466" customWidth="1"/>
    <col min="15358" max="15358" width="12.28515625" style="466" customWidth="1"/>
    <col min="15359" max="15359" width="12.7109375" style="466" customWidth="1"/>
    <col min="15360" max="15360" width="16.85546875" style="466" customWidth="1"/>
    <col min="15361" max="15361" width="12.28515625" style="466" customWidth="1"/>
    <col min="15362" max="15362" width="0" style="466" hidden="1" customWidth="1"/>
    <col min="15363" max="15363" width="11.42578125" style="466"/>
    <col min="15364" max="15364" width="13.5703125" style="466" bestFit="1" customWidth="1"/>
    <col min="15365" max="15608" width="11.42578125" style="466"/>
    <col min="15609" max="15609" width="6.5703125" style="466" customWidth="1"/>
    <col min="15610" max="15610" width="34.42578125" style="466" customWidth="1"/>
    <col min="15611" max="15611" width="4.7109375" style="466" customWidth="1"/>
    <col min="15612" max="15612" width="5.7109375" style="466" customWidth="1"/>
    <col min="15613" max="15613" width="5.85546875" style="466" customWidth="1"/>
    <col min="15614" max="15614" width="12.28515625" style="466" customWidth="1"/>
    <col min="15615" max="15615" width="12.7109375" style="466" customWidth="1"/>
    <col min="15616" max="15616" width="16.85546875" style="466" customWidth="1"/>
    <col min="15617" max="15617" width="12.28515625" style="466" customWidth="1"/>
    <col min="15618" max="15618" width="0" style="466" hidden="1" customWidth="1"/>
    <col min="15619" max="15619" width="11.42578125" style="466"/>
    <col min="15620" max="15620" width="13.5703125" style="466" bestFit="1" customWidth="1"/>
    <col min="15621" max="15864" width="11.42578125" style="466"/>
    <col min="15865" max="15865" width="6.5703125" style="466" customWidth="1"/>
    <col min="15866" max="15866" width="34.42578125" style="466" customWidth="1"/>
    <col min="15867" max="15867" width="4.7109375" style="466" customWidth="1"/>
    <col min="15868" max="15868" width="5.7109375" style="466" customWidth="1"/>
    <col min="15869" max="15869" width="5.85546875" style="466" customWidth="1"/>
    <col min="15870" max="15870" width="12.28515625" style="466" customWidth="1"/>
    <col min="15871" max="15871" width="12.7109375" style="466" customWidth="1"/>
    <col min="15872" max="15872" width="16.85546875" style="466" customWidth="1"/>
    <col min="15873" max="15873" width="12.28515625" style="466" customWidth="1"/>
    <col min="15874" max="15874" width="0" style="466" hidden="1" customWidth="1"/>
    <col min="15875" max="15875" width="11.42578125" style="466"/>
    <col min="15876" max="15876" width="13.5703125" style="466" bestFit="1" customWidth="1"/>
    <col min="15877" max="16120" width="11.42578125" style="466"/>
    <col min="16121" max="16121" width="6.5703125" style="466" customWidth="1"/>
    <col min="16122" max="16122" width="34.42578125" style="466" customWidth="1"/>
    <col min="16123" max="16123" width="4.7109375" style="466" customWidth="1"/>
    <col min="16124" max="16124" width="5.7109375" style="466" customWidth="1"/>
    <col min="16125" max="16125" width="5.85546875" style="466" customWidth="1"/>
    <col min="16126" max="16126" width="12.28515625" style="466" customWidth="1"/>
    <col min="16127" max="16127" width="12.7109375" style="466" customWidth="1"/>
    <col min="16128" max="16128" width="16.85546875" style="466" customWidth="1"/>
    <col min="16129" max="16129" width="12.28515625" style="466" customWidth="1"/>
    <col min="16130" max="16130" width="0" style="466" hidden="1" customWidth="1"/>
    <col min="16131" max="16131" width="11.42578125" style="466"/>
    <col min="16132" max="16132" width="13.5703125" style="466" bestFit="1" customWidth="1"/>
    <col min="16133" max="16384" width="11.42578125" style="466"/>
  </cols>
  <sheetData>
    <row r="4" spans="1:11" ht="15" x14ac:dyDescent="0.2">
      <c r="B4" s="1241" t="s">
        <v>207</v>
      </c>
      <c r="C4" s="1241"/>
      <c r="D4" s="1241"/>
      <c r="E4" s="1241"/>
      <c r="F4" s="1241"/>
      <c r="G4" s="1241"/>
      <c r="H4" s="1241"/>
      <c r="I4" s="465"/>
    </row>
    <row r="5" spans="1:11" ht="15" x14ac:dyDescent="0.2">
      <c r="B5" s="1251" t="s">
        <v>521</v>
      </c>
      <c r="C5" s="1251"/>
      <c r="D5" s="1251"/>
      <c r="E5" s="1251"/>
      <c r="F5" s="1251"/>
      <c r="G5" s="1251"/>
      <c r="H5" s="1251"/>
      <c r="I5" s="465"/>
    </row>
    <row r="6" spans="1:11" ht="15" x14ac:dyDescent="0.2">
      <c r="B6" s="1251"/>
      <c r="C6" s="1251"/>
      <c r="D6" s="1251"/>
      <c r="E6" s="1251"/>
      <c r="F6" s="1251"/>
      <c r="G6" s="1251"/>
      <c r="H6" s="1251"/>
      <c r="I6" s="465"/>
    </row>
    <row r="7" spans="1:11" ht="15" x14ac:dyDescent="0.2">
      <c r="A7" s="467"/>
      <c r="B7" s="1242" t="s">
        <v>208</v>
      </c>
      <c r="C7" s="1242"/>
      <c r="D7" s="1242"/>
      <c r="E7" s="1242"/>
      <c r="F7" s="1242"/>
      <c r="G7" s="1242"/>
      <c r="H7" s="1242"/>
    </row>
    <row r="8" spans="1:11" ht="12.75" x14ac:dyDescent="0.2">
      <c r="A8" s="1243" t="s">
        <v>209</v>
      </c>
      <c r="B8" s="1244"/>
      <c r="C8" s="1244"/>
      <c r="D8" s="1244"/>
      <c r="E8" s="1245"/>
      <c r="F8" s="1249" t="s">
        <v>51</v>
      </c>
      <c r="G8" s="1250"/>
      <c r="H8" s="469">
        <f>+'FORMATO PROPUESTA ECONÓMICA'!F194+'FORMATO PROPUESTA ECONÓMICA'!F140</f>
        <v>0</v>
      </c>
      <c r="I8" s="470"/>
    </row>
    <row r="9" spans="1:11" ht="12.75" x14ac:dyDescent="0.2">
      <c r="A9" s="1246"/>
      <c r="B9" s="1247"/>
      <c r="C9" s="1247"/>
      <c r="D9" s="1247"/>
      <c r="E9" s="1248"/>
      <c r="F9" s="1249" t="s">
        <v>210</v>
      </c>
      <c r="G9" s="1250"/>
      <c r="H9" s="471" t="s">
        <v>211</v>
      </c>
      <c r="I9" s="470"/>
    </row>
    <row r="10" spans="1:11" ht="12.75" thickBot="1" x14ac:dyDescent="0.25">
      <c r="A10" s="472" t="s">
        <v>212</v>
      </c>
      <c r="B10" s="473" t="s">
        <v>37</v>
      </c>
      <c r="C10" s="473" t="s">
        <v>38</v>
      </c>
      <c r="D10" s="474" t="s">
        <v>196</v>
      </c>
      <c r="E10" s="475" t="s">
        <v>213</v>
      </c>
      <c r="F10" s="476" t="s">
        <v>214</v>
      </c>
      <c r="G10" s="477" t="s">
        <v>215</v>
      </c>
      <c r="H10" s="478" t="s">
        <v>216</v>
      </c>
      <c r="J10" s="479" t="s">
        <v>212</v>
      </c>
    </row>
    <row r="11" spans="1:11" x14ac:dyDescent="0.2">
      <c r="A11" s="480" t="s">
        <v>217</v>
      </c>
      <c r="B11" s="481" t="s">
        <v>218</v>
      </c>
      <c r="C11" s="482"/>
      <c r="D11" s="483" t="s">
        <v>219</v>
      </c>
      <c r="E11" s="484"/>
      <c r="F11" s="485"/>
      <c r="G11" s="486" t="e">
        <f>SUM(G13:G51)+G56</f>
        <v>#DIV/0!</v>
      </c>
      <c r="H11" s="487"/>
      <c r="J11" s="488" t="s">
        <v>217</v>
      </c>
    </row>
    <row r="12" spans="1:11" x14ac:dyDescent="0.2">
      <c r="A12" s="489" t="s">
        <v>220</v>
      </c>
      <c r="B12" s="490" t="s">
        <v>221</v>
      </c>
      <c r="C12" s="491" t="s">
        <v>30</v>
      </c>
      <c r="D12" s="492"/>
      <c r="E12" s="493"/>
      <c r="F12" s="494"/>
      <c r="G12" s="495"/>
      <c r="H12" s="496"/>
      <c r="J12" s="497" t="s">
        <v>220</v>
      </c>
      <c r="K12" s="498"/>
    </row>
    <row r="13" spans="1:11" x14ac:dyDescent="0.2">
      <c r="A13" s="499" t="s">
        <v>222</v>
      </c>
      <c r="B13" s="500" t="s">
        <v>223</v>
      </c>
      <c r="C13" s="501" t="s">
        <v>38</v>
      </c>
      <c r="D13" s="502"/>
      <c r="E13" s="503">
        <v>1</v>
      </c>
      <c r="F13" s="504">
        <v>500000</v>
      </c>
      <c r="G13" s="505" t="e">
        <f>+H13/$H$8</f>
        <v>#DIV/0!</v>
      </c>
      <c r="H13" s="506">
        <f>+D13*E13*F13</f>
        <v>0</v>
      </c>
      <c r="J13" s="507" t="s">
        <v>222</v>
      </c>
    </row>
    <row r="14" spans="1:11" x14ac:dyDescent="0.2">
      <c r="A14" s="499" t="s">
        <v>224</v>
      </c>
      <c r="B14" s="500" t="s">
        <v>225</v>
      </c>
      <c r="C14" s="501" t="s">
        <v>38</v>
      </c>
      <c r="D14" s="502">
        <v>1</v>
      </c>
      <c r="E14" s="503">
        <v>1</v>
      </c>
      <c r="F14" s="506">
        <v>210000</v>
      </c>
      <c r="G14" s="505" t="e">
        <f>+H14/$H$8</f>
        <v>#DIV/0!</v>
      </c>
      <c r="H14" s="506">
        <f>+D14*E14*F14</f>
        <v>210000</v>
      </c>
      <c r="J14" s="507" t="s">
        <v>224</v>
      </c>
    </row>
    <row r="15" spans="1:11" x14ac:dyDescent="0.2">
      <c r="A15" s="499" t="s">
        <v>226</v>
      </c>
      <c r="B15" s="500" t="s">
        <v>227</v>
      </c>
      <c r="C15" s="501" t="s">
        <v>38</v>
      </c>
      <c r="D15" s="502">
        <v>1</v>
      </c>
      <c r="E15" s="503">
        <v>1</v>
      </c>
      <c r="F15" s="506">
        <v>150000</v>
      </c>
      <c r="G15" s="505" t="e">
        <f>+H15/$H$8</f>
        <v>#DIV/0!</v>
      </c>
      <c r="H15" s="506">
        <f>+D15*E15*F15</f>
        <v>150000</v>
      </c>
      <c r="J15" s="507" t="s">
        <v>226</v>
      </c>
    </row>
    <row r="16" spans="1:11" x14ac:dyDescent="0.2">
      <c r="A16" s="489" t="s">
        <v>228</v>
      </c>
      <c r="B16" s="490" t="s">
        <v>229</v>
      </c>
      <c r="C16" s="501" t="s">
        <v>30</v>
      </c>
      <c r="D16" s="502"/>
      <c r="E16" s="503"/>
      <c r="F16" s="506"/>
      <c r="G16" s="505"/>
      <c r="H16" s="506"/>
      <c r="J16" s="508" t="s">
        <v>228</v>
      </c>
    </row>
    <row r="17" spans="1:11" x14ac:dyDescent="0.2">
      <c r="A17" s="499" t="s">
        <v>230</v>
      </c>
      <c r="B17" s="500" t="s">
        <v>231</v>
      </c>
      <c r="C17" s="501" t="s">
        <v>38</v>
      </c>
      <c r="D17" s="502"/>
      <c r="E17" s="503"/>
      <c r="F17" s="506">
        <f>+H8*I8*0.2*(0.5/100)</f>
        <v>0</v>
      </c>
      <c r="G17" s="505" t="e">
        <f t="shared" ref="G17:G24" si="0">+H17/$H$8</f>
        <v>#DIV/0!</v>
      </c>
      <c r="H17" s="506">
        <f t="shared" ref="H17:H24" si="1">+D17*E17*F17</f>
        <v>0</v>
      </c>
      <c r="J17" s="507" t="s">
        <v>230</v>
      </c>
    </row>
    <row r="18" spans="1:11" x14ac:dyDescent="0.2">
      <c r="A18" s="499" t="s">
        <v>232</v>
      </c>
      <c r="B18" s="500" t="s">
        <v>233</v>
      </c>
      <c r="C18" s="501" t="s">
        <v>38</v>
      </c>
      <c r="D18" s="502">
        <v>1</v>
      </c>
      <c r="E18" s="503">
        <v>1</v>
      </c>
      <c r="F18" s="506">
        <f>+H8*1.3*0.0004</f>
        <v>0</v>
      </c>
      <c r="G18" s="505" t="e">
        <f t="shared" si="0"/>
        <v>#DIV/0!</v>
      </c>
      <c r="H18" s="506">
        <f t="shared" si="1"/>
        <v>0</v>
      </c>
      <c r="J18" s="507" t="s">
        <v>232</v>
      </c>
    </row>
    <row r="19" spans="1:11" x14ac:dyDescent="0.2">
      <c r="A19" s="499" t="s">
        <v>234</v>
      </c>
      <c r="B19" s="500" t="s">
        <v>235</v>
      </c>
      <c r="C19" s="501" t="s">
        <v>38</v>
      </c>
      <c r="D19" s="502">
        <v>1</v>
      </c>
      <c r="E19" s="503">
        <v>1</v>
      </c>
      <c r="F19" s="506">
        <f>+H8*1.3*0.0016</f>
        <v>0</v>
      </c>
      <c r="G19" s="505" t="e">
        <f t="shared" si="0"/>
        <v>#DIV/0!</v>
      </c>
      <c r="H19" s="506">
        <f t="shared" si="1"/>
        <v>0</v>
      </c>
      <c r="J19" s="507" t="s">
        <v>234</v>
      </c>
    </row>
    <row r="20" spans="1:11" x14ac:dyDescent="0.2">
      <c r="A20" s="499" t="s">
        <v>236</v>
      </c>
      <c r="B20" s="500" t="s">
        <v>237</v>
      </c>
      <c r="C20" s="501" t="s">
        <v>38</v>
      </c>
      <c r="D20" s="502">
        <v>1</v>
      </c>
      <c r="E20" s="503">
        <v>1</v>
      </c>
      <c r="F20" s="506">
        <f>+H8*1.3*0.001</f>
        <v>0</v>
      </c>
      <c r="G20" s="505" t="e">
        <f t="shared" si="0"/>
        <v>#DIV/0!</v>
      </c>
      <c r="H20" s="506">
        <f t="shared" si="1"/>
        <v>0</v>
      </c>
      <c r="J20" s="507" t="s">
        <v>236</v>
      </c>
    </row>
    <row r="21" spans="1:11" x14ac:dyDescent="0.2">
      <c r="A21" s="499" t="s">
        <v>238</v>
      </c>
      <c r="B21" s="500" t="s">
        <v>239</v>
      </c>
      <c r="C21" s="501" t="s">
        <v>38</v>
      </c>
      <c r="D21" s="502">
        <v>1</v>
      </c>
      <c r="E21" s="503">
        <v>1</v>
      </c>
      <c r="F21" s="506">
        <f>+H8*1.3*0.0004</f>
        <v>0</v>
      </c>
      <c r="G21" s="505" t="e">
        <f t="shared" si="0"/>
        <v>#DIV/0!</v>
      </c>
      <c r="H21" s="506">
        <f t="shared" si="1"/>
        <v>0</v>
      </c>
      <c r="J21" s="507" t="s">
        <v>238</v>
      </c>
    </row>
    <row r="22" spans="1:11" x14ac:dyDescent="0.2">
      <c r="A22" s="499" t="s">
        <v>240</v>
      </c>
      <c r="B22" s="500" t="s">
        <v>241</v>
      </c>
      <c r="C22" s="501" t="s">
        <v>38</v>
      </c>
      <c r="D22" s="502"/>
      <c r="E22" s="503"/>
      <c r="F22" s="506">
        <f>+H8*I8*(0.1/100)</f>
        <v>0</v>
      </c>
      <c r="G22" s="505" t="e">
        <f t="shared" si="0"/>
        <v>#DIV/0!</v>
      </c>
      <c r="H22" s="506">
        <f t="shared" si="1"/>
        <v>0</v>
      </c>
      <c r="J22" s="509" t="s">
        <v>242</v>
      </c>
    </row>
    <row r="23" spans="1:11" x14ac:dyDescent="0.2">
      <c r="A23" s="489" t="s">
        <v>242</v>
      </c>
      <c r="B23" s="490" t="s">
        <v>243</v>
      </c>
      <c r="C23" s="501" t="s">
        <v>38</v>
      </c>
      <c r="D23" s="502">
        <v>1</v>
      </c>
      <c r="E23" s="503">
        <v>1</v>
      </c>
      <c r="F23" s="506">
        <v>200000</v>
      </c>
      <c r="G23" s="505" t="e">
        <f t="shared" si="0"/>
        <v>#DIV/0!</v>
      </c>
      <c r="H23" s="506">
        <f t="shared" si="1"/>
        <v>200000</v>
      </c>
      <c r="I23" s="498"/>
      <c r="J23" s="508" t="s">
        <v>244</v>
      </c>
    </row>
    <row r="24" spans="1:11" x14ac:dyDescent="0.2">
      <c r="A24" s="489"/>
      <c r="B24" s="490" t="s">
        <v>245</v>
      </c>
      <c r="C24" s="501" t="s">
        <v>38</v>
      </c>
      <c r="D24" s="502">
        <v>1</v>
      </c>
      <c r="E24" s="503">
        <v>1</v>
      </c>
      <c r="F24" s="506">
        <v>800000</v>
      </c>
      <c r="G24" s="505" t="e">
        <f t="shared" si="0"/>
        <v>#DIV/0!</v>
      </c>
      <c r="H24" s="506">
        <f t="shared" si="1"/>
        <v>800000</v>
      </c>
      <c r="I24" s="498"/>
      <c r="J24" s="507" t="s">
        <v>246</v>
      </c>
    </row>
    <row r="25" spans="1:11" x14ac:dyDescent="0.2">
      <c r="A25" s="489" t="s">
        <v>244</v>
      </c>
      <c r="B25" s="490" t="s">
        <v>247</v>
      </c>
      <c r="C25" s="501" t="s">
        <v>30</v>
      </c>
      <c r="D25" s="502"/>
      <c r="E25" s="503"/>
      <c r="F25" s="506"/>
      <c r="G25" s="505"/>
      <c r="H25" s="506"/>
      <c r="I25" s="466"/>
      <c r="J25" s="507" t="s">
        <v>248</v>
      </c>
    </row>
    <row r="26" spans="1:11" x14ac:dyDescent="0.2">
      <c r="A26" s="499" t="s">
        <v>246</v>
      </c>
      <c r="B26" s="500" t="s">
        <v>249</v>
      </c>
      <c r="C26" s="501" t="s">
        <v>38</v>
      </c>
      <c r="D26" s="510">
        <v>1</v>
      </c>
      <c r="E26" s="503">
        <v>1</v>
      </c>
      <c r="F26" s="506">
        <f>H8*0.125/100</f>
        <v>0</v>
      </c>
      <c r="G26" s="505" t="e">
        <f>+H26/$H$8</f>
        <v>#DIV/0!</v>
      </c>
      <c r="H26" s="506">
        <f>+D26*E26*F26</f>
        <v>0</v>
      </c>
      <c r="I26" s="498"/>
      <c r="J26" s="507" t="s">
        <v>250</v>
      </c>
    </row>
    <row r="27" spans="1:11" x14ac:dyDescent="0.2">
      <c r="A27" s="499" t="s">
        <v>248</v>
      </c>
      <c r="B27" s="500" t="s">
        <v>251</v>
      </c>
      <c r="C27" s="501" t="s">
        <v>38</v>
      </c>
      <c r="D27" s="510"/>
      <c r="E27" s="503"/>
      <c r="F27" s="506"/>
      <c r="G27" s="505" t="e">
        <f>+H27/$H$8</f>
        <v>#DIV/0!</v>
      </c>
      <c r="H27" s="506">
        <f>+D27*E27*F27</f>
        <v>0</v>
      </c>
      <c r="I27" s="511"/>
      <c r="J27" s="508" t="s">
        <v>252</v>
      </c>
    </row>
    <row r="28" spans="1:11" x14ac:dyDescent="0.2">
      <c r="A28" s="499" t="s">
        <v>250</v>
      </c>
      <c r="B28" s="500" t="s">
        <v>253</v>
      </c>
      <c r="C28" s="501" t="s">
        <v>38</v>
      </c>
      <c r="D28" s="510">
        <v>1</v>
      </c>
      <c r="E28" s="503">
        <v>1</v>
      </c>
      <c r="F28" s="506">
        <f>+H8*1.8*(0.4/100)</f>
        <v>0</v>
      </c>
      <c r="G28" s="505" t="e">
        <f>+H28/$H$8</f>
        <v>#DIV/0!</v>
      </c>
      <c r="H28" s="506">
        <f>+D28*E28*F28</f>
        <v>0</v>
      </c>
      <c r="I28" s="498"/>
      <c r="J28" s="507" t="s">
        <v>254</v>
      </c>
    </row>
    <row r="29" spans="1:11" x14ac:dyDescent="0.2">
      <c r="A29" s="499" t="s">
        <v>255</v>
      </c>
      <c r="B29" s="500" t="s">
        <v>256</v>
      </c>
      <c r="C29" s="501" t="s">
        <v>38</v>
      </c>
      <c r="D29" s="510">
        <v>1</v>
      </c>
      <c r="E29" s="503">
        <v>1</v>
      </c>
      <c r="F29" s="506"/>
      <c r="G29" s="505" t="e">
        <f>+H29/$H$8</f>
        <v>#DIV/0!</v>
      </c>
      <c r="H29" s="1123">
        <f>+D29*E29*F29</f>
        <v>0</v>
      </c>
      <c r="I29" s="498"/>
      <c r="J29" s="507" t="s">
        <v>257</v>
      </c>
    </row>
    <row r="30" spans="1:11" s="514" customFormat="1" x14ac:dyDescent="0.2">
      <c r="A30" s="499" t="s">
        <v>258</v>
      </c>
      <c r="B30" s="500" t="s">
        <v>259</v>
      </c>
      <c r="C30" s="501" t="s">
        <v>38</v>
      </c>
      <c r="D30" s="510"/>
      <c r="E30" s="503">
        <v>1</v>
      </c>
      <c r="F30" s="506">
        <v>42000</v>
      </c>
      <c r="G30" s="505" t="e">
        <f>+H30/$H$8</f>
        <v>#DIV/0!</v>
      </c>
      <c r="H30" s="506">
        <f>+D30*E30*F30</f>
        <v>0</v>
      </c>
      <c r="I30" s="512"/>
      <c r="J30" s="513"/>
    </row>
    <row r="31" spans="1:11" x14ac:dyDescent="0.2">
      <c r="A31" s="489" t="s">
        <v>252</v>
      </c>
      <c r="B31" s="490" t="s">
        <v>261</v>
      </c>
      <c r="C31" s="501"/>
      <c r="D31" s="502"/>
      <c r="E31" s="503"/>
      <c r="F31" s="506"/>
      <c r="G31" s="505"/>
      <c r="H31" s="506"/>
      <c r="I31" s="466"/>
      <c r="J31" s="507"/>
    </row>
    <row r="32" spans="1:11" x14ac:dyDescent="0.2">
      <c r="A32" s="499" t="s">
        <v>254</v>
      </c>
      <c r="B32" s="500" t="s">
        <v>263</v>
      </c>
      <c r="C32" s="501" t="s">
        <v>172</v>
      </c>
      <c r="D32" s="502">
        <v>1</v>
      </c>
      <c r="E32" s="515">
        <v>270</v>
      </c>
      <c r="F32" s="506">
        <f>5000000*1.7/30</f>
        <v>283333.33333333331</v>
      </c>
      <c r="G32" s="505" t="e">
        <f t="shared" ref="G32:G42" si="2">+H32/$H$8</f>
        <v>#DIV/0!</v>
      </c>
      <c r="H32" s="506">
        <f t="shared" ref="H32:H42" si="3">+D32*E32*F32</f>
        <v>76500000</v>
      </c>
      <c r="J32" s="507"/>
      <c r="K32" s="516"/>
    </row>
    <row r="33" spans="1:13" x14ac:dyDescent="0.2">
      <c r="A33" s="499" t="s">
        <v>257</v>
      </c>
      <c r="B33" s="500" t="s">
        <v>265</v>
      </c>
      <c r="C33" s="501" t="s">
        <v>172</v>
      </c>
      <c r="D33" s="502">
        <v>1</v>
      </c>
      <c r="E33" s="515">
        <v>270</v>
      </c>
      <c r="F33" s="506">
        <f>3000000*1.7/30</f>
        <v>170000</v>
      </c>
      <c r="G33" s="505" t="e">
        <f t="shared" si="2"/>
        <v>#DIV/0!</v>
      </c>
      <c r="H33" s="506">
        <f t="shared" si="3"/>
        <v>45900000</v>
      </c>
      <c r="J33" s="507"/>
    </row>
    <row r="34" spans="1:13" x14ac:dyDescent="0.2">
      <c r="A34" s="499" t="s">
        <v>260</v>
      </c>
      <c r="B34" s="500" t="s">
        <v>267</v>
      </c>
      <c r="C34" s="501" t="s">
        <v>172</v>
      </c>
      <c r="D34" s="502">
        <v>1</v>
      </c>
      <c r="E34" s="515">
        <v>270</v>
      </c>
      <c r="F34" s="506">
        <f>689554*1.7/30</f>
        <v>39074.726666666669</v>
      </c>
      <c r="G34" s="505" t="e">
        <f t="shared" si="2"/>
        <v>#DIV/0!</v>
      </c>
      <c r="H34" s="506">
        <f t="shared" si="3"/>
        <v>10550176.200000001</v>
      </c>
      <c r="J34" s="507" t="s">
        <v>268</v>
      </c>
    </row>
    <row r="35" spans="1:13" x14ac:dyDescent="0.2">
      <c r="A35" s="499" t="s">
        <v>262</v>
      </c>
      <c r="B35" s="500" t="s">
        <v>269</v>
      </c>
      <c r="C35" s="501" t="s">
        <v>172</v>
      </c>
      <c r="D35" s="502">
        <v>1</v>
      </c>
      <c r="E35" s="515">
        <v>270</v>
      </c>
      <c r="F35" s="506">
        <f>1000000*1.7/30</f>
        <v>56666.666666666664</v>
      </c>
      <c r="G35" s="505" t="e">
        <f t="shared" si="2"/>
        <v>#DIV/0!</v>
      </c>
      <c r="H35" s="506">
        <f t="shared" si="3"/>
        <v>15300000</v>
      </c>
      <c r="J35" s="507" t="s">
        <v>270</v>
      </c>
    </row>
    <row r="36" spans="1:13" x14ac:dyDescent="0.2">
      <c r="A36" s="499" t="s">
        <v>264</v>
      </c>
      <c r="B36" s="500" t="s">
        <v>271</v>
      </c>
      <c r="C36" s="501" t="s">
        <v>172</v>
      </c>
      <c r="D36" s="502">
        <v>1</v>
      </c>
      <c r="E36" s="515">
        <v>270</v>
      </c>
      <c r="F36" s="506">
        <f>1600000*1.7/30</f>
        <v>90666.666666666672</v>
      </c>
      <c r="G36" s="505" t="e">
        <f t="shared" si="2"/>
        <v>#DIV/0!</v>
      </c>
      <c r="H36" s="506">
        <f t="shared" si="3"/>
        <v>24480000</v>
      </c>
      <c r="J36" s="507" t="s">
        <v>272</v>
      </c>
    </row>
    <row r="37" spans="1:13" x14ac:dyDescent="0.2">
      <c r="A37" s="499" t="s">
        <v>266</v>
      </c>
      <c r="B37" s="500" t="s">
        <v>273</v>
      </c>
      <c r="C37" s="501" t="s">
        <v>172</v>
      </c>
      <c r="D37" s="502">
        <v>1</v>
      </c>
      <c r="E37" s="515">
        <v>270</v>
      </c>
      <c r="F37" s="506">
        <f>689454*1.7/30</f>
        <v>39069.060000000005</v>
      </c>
      <c r="G37" s="505" t="e">
        <f t="shared" si="2"/>
        <v>#DIV/0!</v>
      </c>
      <c r="H37" s="506">
        <f t="shared" si="3"/>
        <v>10548646.200000001</v>
      </c>
      <c r="J37" s="507" t="s">
        <v>274</v>
      </c>
    </row>
    <row r="38" spans="1:13" x14ac:dyDescent="0.2">
      <c r="A38" s="499" t="s">
        <v>268</v>
      </c>
      <c r="B38" s="500" t="s">
        <v>275</v>
      </c>
      <c r="C38" s="501" t="s">
        <v>172</v>
      </c>
      <c r="D38" s="517">
        <v>1</v>
      </c>
      <c r="E38" s="515">
        <v>270</v>
      </c>
      <c r="F38" s="506">
        <f>689454*1.7/30</f>
        <v>39069.060000000005</v>
      </c>
      <c r="G38" s="505" t="e">
        <f t="shared" si="2"/>
        <v>#DIV/0!</v>
      </c>
      <c r="H38" s="506">
        <f t="shared" si="3"/>
        <v>10548646.200000001</v>
      </c>
      <c r="J38" s="508" t="s">
        <v>276</v>
      </c>
    </row>
    <row r="39" spans="1:13" x14ac:dyDescent="0.2">
      <c r="A39" s="499" t="s">
        <v>272</v>
      </c>
      <c r="B39" s="500" t="s">
        <v>277</v>
      </c>
      <c r="C39" s="501" t="s">
        <v>172</v>
      </c>
      <c r="D39" s="502">
        <v>1</v>
      </c>
      <c r="E39" s="515">
        <v>270</v>
      </c>
      <c r="F39" s="506">
        <f>1800000*1.7/30</f>
        <v>102000</v>
      </c>
      <c r="G39" s="505" t="e">
        <f t="shared" si="2"/>
        <v>#DIV/0!</v>
      </c>
      <c r="H39" s="506">
        <f t="shared" si="3"/>
        <v>27540000</v>
      </c>
      <c r="J39" s="507" t="s">
        <v>278</v>
      </c>
    </row>
    <row r="40" spans="1:13" x14ac:dyDescent="0.2">
      <c r="A40" s="499" t="s">
        <v>274</v>
      </c>
      <c r="B40" s="500" t="s">
        <v>279</v>
      </c>
      <c r="C40" s="501" t="s">
        <v>172</v>
      </c>
      <c r="D40" s="502">
        <v>1</v>
      </c>
      <c r="E40" s="515">
        <v>270</v>
      </c>
      <c r="F40" s="506">
        <f>1800000*1.7/30</f>
        <v>102000</v>
      </c>
      <c r="G40" s="505" t="e">
        <f t="shared" si="2"/>
        <v>#DIV/0!</v>
      </c>
      <c r="H40" s="506">
        <f t="shared" si="3"/>
        <v>27540000</v>
      </c>
      <c r="J40" s="507" t="s">
        <v>280</v>
      </c>
    </row>
    <row r="41" spans="1:13" x14ac:dyDescent="0.2">
      <c r="A41" s="499" t="s">
        <v>281</v>
      </c>
      <c r="B41" s="500" t="s">
        <v>282</v>
      </c>
      <c r="C41" s="501" t="s">
        <v>172</v>
      </c>
      <c r="D41" s="518">
        <v>1</v>
      </c>
      <c r="E41" s="515">
        <v>270</v>
      </c>
      <c r="F41" s="506">
        <f>8500000*1.7/30</f>
        <v>481666.66666666669</v>
      </c>
      <c r="G41" s="505" t="e">
        <f t="shared" si="2"/>
        <v>#DIV/0!</v>
      </c>
      <c r="H41" s="506">
        <f t="shared" si="3"/>
        <v>130050000</v>
      </c>
      <c r="J41" s="507" t="s">
        <v>283</v>
      </c>
      <c r="M41" s="1053"/>
    </row>
    <row r="42" spans="1:13" x14ac:dyDescent="0.2">
      <c r="A42" s="499" t="s">
        <v>284</v>
      </c>
      <c r="B42" s="500" t="s">
        <v>285</v>
      </c>
      <c r="C42" s="501" t="s">
        <v>172</v>
      </c>
      <c r="D42" s="502"/>
      <c r="E42" s="515"/>
      <c r="F42" s="506"/>
      <c r="G42" s="505" t="e">
        <f t="shared" si="2"/>
        <v>#DIV/0!</v>
      </c>
      <c r="H42" s="506">
        <f t="shared" si="3"/>
        <v>0</v>
      </c>
      <c r="J42" s="507" t="s">
        <v>286</v>
      </c>
    </row>
    <row r="43" spans="1:13" x14ac:dyDescent="0.2">
      <c r="A43" s="489" t="s">
        <v>276</v>
      </c>
      <c r="B43" s="490" t="s">
        <v>287</v>
      </c>
      <c r="C43" s="501"/>
      <c r="D43" s="502"/>
      <c r="E43" s="503"/>
      <c r="F43" s="506"/>
      <c r="G43" s="505"/>
      <c r="H43" s="506"/>
      <c r="J43" s="507" t="s">
        <v>288</v>
      </c>
    </row>
    <row r="44" spans="1:13" x14ac:dyDescent="0.2">
      <c r="A44" s="499" t="s">
        <v>289</v>
      </c>
      <c r="B44" s="500" t="s">
        <v>290</v>
      </c>
      <c r="C44" s="501" t="s">
        <v>291</v>
      </c>
      <c r="D44" s="502">
        <v>1</v>
      </c>
      <c r="E44" s="515">
        <v>9</v>
      </c>
      <c r="F44" s="506">
        <v>1000000</v>
      </c>
      <c r="G44" s="505" t="e">
        <f t="shared" ref="G44:G51" si="4">+H44/$H$8</f>
        <v>#DIV/0!</v>
      </c>
      <c r="H44" s="506">
        <f t="shared" ref="H44:H51" si="5">+D44*E44*F44</f>
        <v>9000000</v>
      </c>
      <c r="J44" s="507" t="s">
        <v>292</v>
      </c>
    </row>
    <row r="45" spans="1:13" ht="12.75" thickBot="1" x14ac:dyDescent="0.25">
      <c r="A45" s="499" t="s">
        <v>278</v>
      </c>
      <c r="B45" s="500" t="s">
        <v>293</v>
      </c>
      <c r="C45" s="501" t="s">
        <v>291</v>
      </c>
      <c r="D45" s="502">
        <v>1000</v>
      </c>
      <c r="E45" s="515">
        <v>9</v>
      </c>
      <c r="F45" s="506">
        <f>56600*1.16</f>
        <v>65656</v>
      </c>
      <c r="G45" s="505" t="e">
        <f t="shared" si="4"/>
        <v>#DIV/0!</v>
      </c>
      <c r="H45" s="506">
        <f t="shared" si="5"/>
        <v>590904000</v>
      </c>
      <c r="J45" s="507" t="s">
        <v>294</v>
      </c>
    </row>
    <row r="46" spans="1:13" x14ac:dyDescent="0.2">
      <c r="A46" s="499" t="s">
        <v>280</v>
      </c>
      <c r="B46" s="500" t="s">
        <v>295</v>
      </c>
      <c r="C46" s="501" t="s">
        <v>291</v>
      </c>
      <c r="D46" s="502">
        <v>1</v>
      </c>
      <c r="E46" s="503">
        <v>9</v>
      </c>
      <c r="F46" s="506">
        <v>800000</v>
      </c>
      <c r="G46" s="505" t="e">
        <f t="shared" si="4"/>
        <v>#DIV/0!</v>
      </c>
      <c r="H46" s="506">
        <f t="shared" si="5"/>
        <v>7200000</v>
      </c>
      <c r="J46" s="488" t="s">
        <v>296</v>
      </c>
    </row>
    <row r="47" spans="1:13" ht="12.75" thickBot="1" x14ac:dyDescent="0.25">
      <c r="A47" s="499" t="s">
        <v>283</v>
      </c>
      <c r="B47" s="500" t="s">
        <v>297</v>
      </c>
      <c r="C47" s="501" t="s">
        <v>291</v>
      </c>
      <c r="D47" s="502">
        <v>1</v>
      </c>
      <c r="E47" s="515">
        <v>9</v>
      </c>
      <c r="F47" s="506">
        <v>300000</v>
      </c>
      <c r="G47" s="505" t="e">
        <f t="shared" si="4"/>
        <v>#DIV/0!</v>
      </c>
      <c r="H47" s="506">
        <f t="shared" si="5"/>
        <v>2700000</v>
      </c>
      <c r="J47" s="519" t="s">
        <v>298</v>
      </c>
      <c r="M47" s="1053"/>
    </row>
    <row r="48" spans="1:13" x14ac:dyDescent="0.2">
      <c r="A48" s="499" t="s">
        <v>286</v>
      </c>
      <c r="B48" s="500" t="s">
        <v>299</v>
      </c>
      <c r="C48" s="501" t="s">
        <v>291</v>
      </c>
      <c r="D48" s="502">
        <v>1</v>
      </c>
      <c r="E48" s="515">
        <v>9</v>
      </c>
      <c r="F48" s="506">
        <v>150000</v>
      </c>
      <c r="G48" s="505" t="e">
        <f t="shared" si="4"/>
        <v>#DIV/0!</v>
      </c>
      <c r="H48" s="506">
        <f t="shared" si="5"/>
        <v>1350000</v>
      </c>
      <c r="J48" s="488" t="s">
        <v>300</v>
      </c>
    </row>
    <row r="49" spans="1:13" x14ac:dyDescent="0.2">
      <c r="A49" s="499" t="s">
        <v>288</v>
      </c>
      <c r="B49" s="500" t="s">
        <v>301</v>
      </c>
      <c r="C49" s="501" t="s">
        <v>291</v>
      </c>
      <c r="D49" s="502">
        <v>24</v>
      </c>
      <c r="E49" s="503">
        <v>9</v>
      </c>
      <c r="F49" s="506">
        <v>105000</v>
      </c>
      <c r="G49" s="505" t="e">
        <f t="shared" si="4"/>
        <v>#DIV/0!</v>
      </c>
      <c r="H49" s="506">
        <f t="shared" si="5"/>
        <v>22680000</v>
      </c>
      <c r="J49" s="507" t="s">
        <v>302</v>
      </c>
    </row>
    <row r="50" spans="1:13" x14ac:dyDescent="0.2">
      <c r="A50" s="499" t="s">
        <v>292</v>
      </c>
      <c r="B50" s="500" t="s">
        <v>303</v>
      </c>
      <c r="C50" s="501" t="s">
        <v>291</v>
      </c>
      <c r="D50" s="502">
        <v>1</v>
      </c>
      <c r="E50" s="515">
        <v>9</v>
      </c>
      <c r="F50" s="506">
        <v>400000</v>
      </c>
      <c r="G50" s="505" t="e">
        <f t="shared" si="4"/>
        <v>#DIV/0!</v>
      </c>
      <c r="H50" s="506">
        <f t="shared" si="5"/>
        <v>3600000</v>
      </c>
      <c r="J50" s="520" t="s">
        <v>304</v>
      </c>
      <c r="L50" s="1053"/>
    </row>
    <row r="51" spans="1:13" x14ac:dyDescent="0.2">
      <c r="A51" s="499" t="s">
        <v>294</v>
      </c>
      <c r="B51" s="521" t="s">
        <v>305</v>
      </c>
      <c r="C51" s="522" t="s">
        <v>291</v>
      </c>
      <c r="D51" s="523">
        <v>2</v>
      </c>
      <c r="E51" s="524">
        <v>9</v>
      </c>
      <c r="F51" s="504">
        <v>100000</v>
      </c>
      <c r="G51" s="505" t="e">
        <f t="shared" si="4"/>
        <v>#DIV/0!</v>
      </c>
      <c r="H51" s="506">
        <f t="shared" si="5"/>
        <v>1800000</v>
      </c>
      <c r="J51" s="525" t="s">
        <v>306</v>
      </c>
    </row>
    <row r="52" spans="1:13" x14ac:dyDescent="0.2">
      <c r="A52" s="526" t="s">
        <v>296</v>
      </c>
      <c r="B52" s="527" t="s">
        <v>307</v>
      </c>
      <c r="C52" s="528" t="s">
        <v>30</v>
      </c>
      <c r="D52" s="529"/>
      <c r="E52" s="530"/>
      <c r="F52" s="531"/>
      <c r="G52" s="532">
        <f>G53</f>
        <v>0.04</v>
      </c>
      <c r="H52" s="531"/>
      <c r="J52" s="525" t="s">
        <v>308</v>
      </c>
      <c r="M52" s="1053"/>
    </row>
    <row r="53" spans="1:13" x14ac:dyDescent="0.2">
      <c r="A53" s="499" t="s">
        <v>298</v>
      </c>
      <c r="B53" s="500" t="s">
        <v>309</v>
      </c>
      <c r="C53" s="501" t="s">
        <v>310</v>
      </c>
      <c r="D53" s="502">
        <v>1</v>
      </c>
      <c r="E53" s="503">
        <v>1</v>
      </c>
      <c r="F53" s="506">
        <f>+G53*H8</f>
        <v>0</v>
      </c>
      <c r="G53" s="505">
        <v>0.04</v>
      </c>
      <c r="H53" s="506">
        <f>+F53*E53</f>
        <v>0</v>
      </c>
      <c r="J53" s="525" t="s">
        <v>311</v>
      </c>
    </row>
    <row r="54" spans="1:13" x14ac:dyDescent="0.2">
      <c r="A54" s="526" t="s">
        <v>300</v>
      </c>
      <c r="B54" s="527" t="s">
        <v>312</v>
      </c>
      <c r="C54" s="528" t="s">
        <v>30</v>
      </c>
      <c r="D54" s="529"/>
      <c r="E54" s="530"/>
      <c r="F54" s="531"/>
      <c r="G54" s="532">
        <f>+G55</f>
        <v>7.0000000000000007E-2</v>
      </c>
      <c r="H54" s="531"/>
      <c r="J54" s="525" t="s">
        <v>313</v>
      </c>
    </row>
    <row r="55" spans="1:13" x14ac:dyDescent="0.2">
      <c r="A55" s="499" t="s">
        <v>302</v>
      </c>
      <c r="B55" s="500" t="s">
        <v>314</v>
      </c>
      <c r="C55" s="501" t="s">
        <v>310</v>
      </c>
      <c r="D55" s="502">
        <v>1</v>
      </c>
      <c r="E55" s="503">
        <v>1</v>
      </c>
      <c r="F55" s="506">
        <f>+G55*H8</f>
        <v>0</v>
      </c>
      <c r="G55" s="505">
        <v>7.0000000000000007E-2</v>
      </c>
      <c r="H55" s="506">
        <f>E55*F55</f>
        <v>0</v>
      </c>
      <c r="J55" s="525" t="s">
        <v>315</v>
      </c>
    </row>
    <row r="56" spans="1:13" x14ac:dyDescent="0.2">
      <c r="A56" s="533" t="s">
        <v>304</v>
      </c>
      <c r="B56" s="534" t="s">
        <v>316</v>
      </c>
      <c r="C56" s="535"/>
      <c r="D56" s="536"/>
      <c r="E56" s="537"/>
      <c r="F56" s="538"/>
      <c r="G56" s="539" t="e">
        <f>SUM(G57:G68)</f>
        <v>#DIV/0!</v>
      </c>
      <c r="H56" s="538"/>
      <c r="J56" s="525" t="s">
        <v>317</v>
      </c>
    </row>
    <row r="57" spans="1:13" x14ac:dyDescent="0.2">
      <c r="A57" s="499" t="s">
        <v>306</v>
      </c>
      <c r="B57" s="540" t="s">
        <v>318</v>
      </c>
      <c r="C57" s="503" t="s">
        <v>172</v>
      </c>
      <c r="D57" s="502"/>
      <c r="E57" s="515"/>
      <c r="F57" s="506">
        <f>1500000*1.7/30</f>
        <v>85000</v>
      </c>
      <c r="G57" s="505" t="e">
        <f t="shared" ref="G57:G68" si="6">+H57/$H$8</f>
        <v>#DIV/0!</v>
      </c>
      <c r="H57" s="506">
        <f t="shared" ref="H57:H68" si="7">+D57*E57*F57</f>
        <v>0</v>
      </c>
      <c r="J57" s="525"/>
    </row>
    <row r="58" spans="1:13" x14ac:dyDescent="0.2">
      <c r="A58" s="499" t="s">
        <v>319</v>
      </c>
      <c r="B58" s="541" t="s">
        <v>320</v>
      </c>
      <c r="C58" s="503" t="s">
        <v>172</v>
      </c>
      <c r="D58" s="502">
        <v>1</v>
      </c>
      <c r="E58" s="515">
        <v>270</v>
      </c>
      <c r="F58" s="506">
        <f>689454*1.7/30</f>
        <v>39069.060000000005</v>
      </c>
      <c r="G58" s="505" t="e">
        <f t="shared" si="6"/>
        <v>#DIV/0!</v>
      </c>
      <c r="H58" s="506">
        <f t="shared" si="7"/>
        <v>10548646.200000001</v>
      </c>
      <c r="J58" s="525"/>
    </row>
    <row r="59" spans="1:13" x14ac:dyDescent="0.2">
      <c r="A59" s="499" t="s">
        <v>308</v>
      </c>
      <c r="B59" s="541" t="s">
        <v>321</v>
      </c>
      <c r="C59" s="503" t="s">
        <v>291</v>
      </c>
      <c r="D59" s="502">
        <v>1</v>
      </c>
      <c r="E59" s="515">
        <v>9</v>
      </c>
      <c r="F59" s="506">
        <v>60000</v>
      </c>
      <c r="G59" s="505" t="e">
        <f t="shared" si="6"/>
        <v>#DIV/0!</v>
      </c>
      <c r="H59" s="506">
        <f t="shared" si="7"/>
        <v>540000</v>
      </c>
      <c r="J59" s="525"/>
    </row>
    <row r="60" spans="1:13" x14ac:dyDescent="0.2">
      <c r="A60" s="499" t="s">
        <v>311</v>
      </c>
      <c r="B60" s="542" t="s">
        <v>322</v>
      </c>
      <c r="C60" s="503" t="s">
        <v>291</v>
      </c>
      <c r="D60" s="502">
        <v>2</v>
      </c>
      <c r="E60" s="515">
        <v>9</v>
      </c>
      <c r="F60" s="506">
        <v>400000</v>
      </c>
      <c r="G60" s="505" t="e">
        <f t="shared" si="6"/>
        <v>#DIV/0!</v>
      </c>
      <c r="H60" s="506">
        <f t="shared" si="7"/>
        <v>7200000</v>
      </c>
      <c r="J60" s="525"/>
    </row>
    <row r="61" spans="1:13" x14ac:dyDescent="0.2">
      <c r="A61" s="499" t="s">
        <v>313</v>
      </c>
      <c r="B61" s="541" t="s">
        <v>323</v>
      </c>
      <c r="C61" s="503" t="s">
        <v>291</v>
      </c>
      <c r="D61" s="502"/>
      <c r="E61" s="515"/>
      <c r="F61" s="506">
        <v>105000</v>
      </c>
      <c r="G61" s="505" t="e">
        <f t="shared" si="6"/>
        <v>#DIV/0!</v>
      </c>
      <c r="H61" s="506">
        <f t="shared" si="7"/>
        <v>0</v>
      </c>
      <c r="J61" s="525"/>
    </row>
    <row r="62" spans="1:13" x14ac:dyDescent="0.2">
      <c r="A62" s="499" t="s">
        <v>315</v>
      </c>
      <c r="B62" s="541" t="s">
        <v>324</v>
      </c>
      <c r="C62" s="503" t="s">
        <v>291</v>
      </c>
      <c r="D62" s="502">
        <v>1</v>
      </c>
      <c r="E62" s="515">
        <v>9</v>
      </c>
      <c r="F62" s="506">
        <v>2000000</v>
      </c>
      <c r="G62" s="505" t="e">
        <f t="shared" si="6"/>
        <v>#DIV/0!</v>
      </c>
      <c r="H62" s="506">
        <f t="shared" si="7"/>
        <v>18000000</v>
      </c>
      <c r="J62" s="543"/>
    </row>
    <row r="63" spans="1:13" ht="24.75" thickBot="1" x14ac:dyDescent="0.25">
      <c r="A63" s="499" t="s">
        <v>317</v>
      </c>
      <c r="B63" s="541" t="s">
        <v>325</v>
      </c>
      <c r="C63" s="503" t="s">
        <v>291</v>
      </c>
      <c r="D63" s="502">
        <v>4</v>
      </c>
      <c r="E63" s="515">
        <v>9</v>
      </c>
      <c r="F63" s="504">
        <v>150000</v>
      </c>
      <c r="G63" s="505" t="e">
        <f t="shared" si="6"/>
        <v>#DIV/0!</v>
      </c>
      <c r="H63" s="506">
        <f t="shared" si="7"/>
        <v>5400000</v>
      </c>
      <c r="J63" s="544"/>
    </row>
    <row r="64" spans="1:13" x14ac:dyDescent="0.2">
      <c r="A64" s="499" t="s">
        <v>326</v>
      </c>
      <c r="B64" s="545" t="s">
        <v>327</v>
      </c>
      <c r="C64" s="503" t="s">
        <v>291</v>
      </c>
      <c r="D64" s="502">
        <v>4</v>
      </c>
      <c r="E64" s="515">
        <v>9</v>
      </c>
      <c r="F64" s="506">
        <v>150000</v>
      </c>
      <c r="G64" s="505" t="e">
        <f t="shared" si="6"/>
        <v>#DIV/0!</v>
      </c>
      <c r="H64" s="506">
        <f t="shared" si="7"/>
        <v>5400000</v>
      </c>
    </row>
    <row r="65" spans="1:10" x14ac:dyDescent="0.2">
      <c r="A65" s="499" t="s">
        <v>328</v>
      </c>
      <c r="B65" s="541" t="s">
        <v>329</v>
      </c>
      <c r="C65" s="503" t="s">
        <v>291</v>
      </c>
      <c r="D65" s="502">
        <v>1</v>
      </c>
      <c r="E65" s="515">
        <v>9</v>
      </c>
      <c r="F65" s="506">
        <v>40000</v>
      </c>
      <c r="G65" s="505" t="e">
        <f t="shared" si="6"/>
        <v>#DIV/0!</v>
      </c>
      <c r="H65" s="506">
        <f t="shared" si="7"/>
        <v>360000</v>
      </c>
      <c r="I65" s="466"/>
    </row>
    <row r="66" spans="1:10" ht="36" x14ac:dyDescent="0.2">
      <c r="A66" s="499" t="s">
        <v>330</v>
      </c>
      <c r="B66" s="545" t="s">
        <v>331</v>
      </c>
      <c r="C66" s="503" t="s">
        <v>291</v>
      </c>
      <c r="D66" s="523">
        <v>1</v>
      </c>
      <c r="E66" s="515">
        <v>9</v>
      </c>
      <c r="F66" s="506">
        <v>800000</v>
      </c>
      <c r="G66" s="505" t="e">
        <f t="shared" si="6"/>
        <v>#DIV/0!</v>
      </c>
      <c r="H66" s="506">
        <f t="shared" si="7"/>
        <v>7200000</v>
      </c>
      <c r="I66" s="466"/>
      <c r="J66" s="546"/>
    </row>
    <row r="67" spans="1:10" ht="24" x14ac:dyDescent="0.2">
      <c r="A67" s="499" t="s">
        <v>332</v>
      </c>
      <c r="B67" s="545" t="s">
        <v>333</v>
      </c>
      <c r="C67" s="503" t="s">
        <v>291</v>
      </c>
      <c r="D67" s="502">
        <v>2</v>
      </c>
      <c r="E67" s="524">
        <v>9</v>
      </c>
      <c r="F67" s="504">
        <v>150000</v>
      </c>
      <c r="G67" s="505" t="e">
        <f t="shared" si="6"/>
        <v>#DIV/0!</v>
      </c>
      <c r="H67" s="506">
        <f t="shared" si="7"/>
        <v>2700000</v>
      </c>
      <c r="I67" s="466"/>
    </row>
    <row r="68" spans="1:10" x14ac:dyDescent="0.2">
      <c r="A68" s="499" t="s">
        <v>334</v>
      </c>
      <c r="B68" s="541" t="s">
        <v>335</v>
      </c>
      <c r="C68" s="503" t="s">
        <v>291</v>
      </c>
      <c r="D68" s="502">
        <v>2</v>
      </c>
      <c r="E68" s="515">
        <v>9</v>
      </c>
      <c r="F68" s="506">
        <v>350000</v>
      </c>
      <c r="G68" s="505" t="e">
        <f t="shared" si="6"/>
        <v>#DIV/0!</v>
      </c>
      <c r="H68" s="506">
        <f t="shared" si="7"/>
        <v>6300000</v>
      </c>
      <c r="I68" s="466"/>
    </row>
    <row r="69" spans="1:10" x14ac:dyDescent="0.2">
      <c r="A69" s="499"/>
      <c r="B69" s="541"/>
      <c r="C69" s="503"/>
      <c r="D69" s="502"/>
      <c r="E69" s="515"/>
      <c r="F69" s="506"/>
      <c r="G69" s="505"/>
      <c r="H69" s="506"/>
      <c r="I69" s="466"/>
    </row>
    <row r="70" spans="1:10" ht="12.75" x14ac:dyDescent="0.2">
      <c r="A70" s="547"/>
      <c r="B70" s="1238" t="s">
        <v>336</v>
      </c>
      <c r="C70" s="1239" t="s">
        <v>30</v>
      </c>
      <c r="D70" s="1239"/>
      <c r="E70" s="1239"/>
      <c r="F70" s="1240"/>
      <c r="G70" s="548" t="e">
        <f>(G11+G52+G54)</f>
        <v>#DIV/0!</v>
      </c>
      <c r="H70" s="549"/>
      <c r="I70" s="466"/>
    </row>
    <row r="71" spans="1:10" x14ac:dyDescent="0.2">
      <c r="G71" s="555"/>
      <c r="I71" s="466"/>
    </row>
    <row r="73" spans="1:10" x14ac:dyDescent="0.2">
      <c r="G73" s="557"/>
      <c r="I73" s="466"/>
    </row>
    <row r="74" spans="1:10" x14ac:dyDescent="0.2">
      <c r="G74" s="557"/>
      <c r="I74" s="466"/>
    </row>
    <row r="75" spans="1:10" x14ac:dyDescent="0.2">
      <c r="G75" s="498"/>
      <c r="I75" s="466"/>
    </row>
  </sheetData>
  <mergeCells count="7">
    <mergeCell ref="B70:F70"/>
    <mergeCell ref="B4:H4"/>
    <mergeCell ref="B7:H7"/>
    <mergeCell ref="A8:E9"/>
    <mergeCell ref="F8:G8"/>
    <mergeCell ref="F9:G9"/>
    <mergeCell ref="B5:H6"/>
  </mergeCells>
  <pageMargins left="0.7" right="0.7" top="0.75" bottom="0.75"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37"/>
  <sheetViews>
    <sheetView view="pageBreakPreview" topLeftCell="A619" zoomScale="90" zoomScaleNormal="100" zoomScaleSheetLayoutView="90" workbookViewId="0">
      <selection activeCell="G70" sqref="G70"/>
    </sheetView>
  </sheetViews>
  <sheetFormatPr baseColWidth="10" defaultRowHeight="21" customHeight="1" x14ac:dyDescent="0.25"/>
  <cols>
    <col min="1" max="1" width="15.28515625" style="46" customWidth="1"/>
    <col min="2" max="2" width="13.42578125" style="46" customWidth="1"/>
    <col min="3" max="3" width="15.7109375" style="46" bestFit="1" customWidth="1"/>
    <col min="4" max="4" width="19" style="46" bestFit="1" customWidth="1"/>
    <col min="5" max="5" width="17.28515625" style="46" bestFit="1" customWidth="1"/>
    <col min="6" max="6" width="20.7109375" style="46" customWidth="1"/>
    <col min="7" max="7" width="22.5703125" style="46" bestFit="1" customWidth="1"/>
    <col min="8" max="8" width="11.42578125" style="46"/>
    <col min="9" max="9" width="36.85546875" style="46" customWidth="1"/>
    <col min="10" max="11" width="11.42578125" style="46"/>
    <col min="12" max="12" width="15.7109375" style="46" bestFit="1" customWidth="1"/>
    <col min="13" max="13" width="13.140625" style="46" bestFit="1" customWidth="1"/>
    <col min="14" max="14" width="11.5703125" style="46" bestFit="1" customWidth="1"/>
    <col min="15" max="15" width="21" style="46" customWidth="1"/>
    <col min="16" max="256" width="11.42578125" style="46"/>
    <col min="257" max="257" width="15.28515625" style="46" customWidth="1"/>
    <col min="258" max="259" width="11.42578125" style="46"/>
    <col min="260" max="260" width="13" style="46" bestFit="1" customWidth="1"/>
    <col min="261" max="261" width="13.140625" style="46" customWidth="1"/>
    <col min="262" max="262" width="20.7109375" style="46" customWidth="1"/>
    <col min="263" max="263" width="13.28515625" style="46" customWidth="1"/>
    <col min="264" max="267" width="11.42578125" style="46"/>
    <col min="268" max="268" width="12.7109375" style="46" bestFit="1" customWidth="1"/>
    <col min="269" max="269" width="13" style="46" bestFit="1" customWidth="1"/>
    <col min="270" max="270" width="11.42578125" style="46"/>
    <col min="271" max="271" width="12" style="46" bestFit="1" customWidth="1"/>
    <col min="272" max="512" width="11.42578125" style="46"/>
    <col min="513" max="513" width="15.28515625" style="46" customWidth="1"/>
    <col min="514" max="515" width="11.42578125" style="46"/>
    <col min="516" max="516" width="13" style="46" bestFit="1" customWidth="1"/>
    <col min="517" max="517" width="13.140625" style="46" customWidth="1"/>
    <col min="518" max="518" width="20.7109375" style="46" customWidth="1"/>
    <col min="519" max="519" width="13.28515625" style="46" customWidth="1"/>
    <col min="520" max="523" width="11.42578125" style="46"/>
    <col min="524" max="524" width="12.7109375" style="46" bestFit="1" customWidth="1"/>
    <col min="525" max="525" width="13" style="46" bestFit="1" customWidth="1"/>
    <col min="526" max="526" width="11.42578125" style="46"/>
    <col min="527" max="527" width="12" style="46" bestFit="1" customWidth="1"/>
    <col min="528" max="768" width="11.42578125" style="46"/>
    <col min="769" max="769" width="15.28515625" style="46" customWidth="1"/>
    <col min="770" max="771" width="11.42578125" style="46"/>
    <col min="772" max="772" width="13" style="46" bestFit="1" customWidth="1"/>
    <col min="773" max="773" width="13.140625" style="46" customWidth="1"/>
    <col min="774" max="774" width="20.7109375" style="46" customWidth="1"/>
    <col min="775" max="775" width="13.28515625" style="46" customWidth="1"/>
    <col min="776" max="779" width="11.42578125" style="46"/>
    <col min="780" max="780" width="12.7109375" style="46" bestFit="1" customWidth="1"/>
    <col min="781" max="781" width="13" style="46" bestFit="1" customWidth="1"/>
    <col min="782" max="782" width="11.42578125" style="46"/>
    <col min="783" max="783" width="12" style="46" bestFit="1" customWidth="1"/>
    <col min="784" max="1024" width="11.42578125" style="46"/>
    <col min="1025" max="1025" width="15.28515625" style="46" customWidth="1"/>
    <col min="1026" max="1027" width="11.42578125" style="46"/>
    <col min="1028" max="1028" width="13" style="46" bestFit="1" customWidth="1"/>
    <col min="1029" max="1029" width="13.140625" style="46" customWidth="1"/>
    <col min="1030" max="1030" width="20.7109375" style="46" customWidth="1"/>
    <col min="1031" max="1031" width="13.28515625" style="46" customWidth="1"/>
    <col min="1032" max="1035" width="11.42578125" style="46"/>
    <col min="1036" max="1036" width="12.7109375" style="46" bestFit="1" customWidth="1"/>
    <col min="1037" max="1037" width="13" style="46" bestFit="1" customWidth="1"/>
    <col min="1038" max="1038" width="11.42578125" style="46"/>
    <col min="1039" max="1039" width="12" style="46" bestFit="1" customWidth="1"/>
    <col min="1040" max="1280" width="11.42578125" style="46"/>
    <col min="1281" max="1281" width="15.28515625" style="46" customWidth="1"/>
    <col min="1282" max="1283" width="11.42578125" style="46"/>
    <col min="1284" max="1284" width="13" style="46" bestFit="1" customWidth="1"/>
    <col min="1285" max="1285" width="13.140625" style="46" customWidth="1"/>
    <col min="1286" max="1286" width="20.7109375" style="46" customWidth="1"/>
    <col min="1287" max="1287" width="13.28515625" style="46" customWidth="1"/>
    <col min="1288" max="1291" width="11.42578125" style="46"/>
    <col min="1292" max="1292" width="12.7109375" style="46" bestFit="1" customWidth="1"/>
    <col min="1293" max="1293" width="13" style="46" bestFit="1" customWidth="1"/>
    <col min="1294" max="1294" width="11.42578125" style="46"/>
    <col min="1295" max="1295" width="12" style="46" bestFit="1" customWidth="1"/>
    <col min="1296" max="1536" width="11.42578125" style="46"/>
    <col min="1537" max="1537" width="15.28515625" style="46" customWidth="1"/>
    <col min="1538" max="1539" width="11.42578125" style="46"/>
    <col min="1540" max="1540" width="13" style="46" bestFit="1" customWidth="1"/>
    <col min="1541" max="1541" width="13.140625" style="46" customWidth="1"/>
    <col min="1542" max="1542" width="20.7109375" style="46" customWidth="1"/>
    <col min="1543" max="1543" width="13.28515625" style="46" customWidth="1"/>
    <col min="1544" max="1547" width="11.42578125" style="46"/>
    <col min="1548" max="1548" width="12.7109375" style="46" bestFit="1" customWidth="1"/>
    <col min="1549" max="1549" width="13" style="46" bestFit="1" customWidth="1"/>
    <col min="1550" max="1550" width="11.42578125" style="46"/>
    <col min="1551" max="1551" width="12" style="46" bestFit="1" customWidth="1"/>
    <col min="1552" max="1792" width="11.42578125" style="46"/>
    <col min="1793" max="1793" width="15.28515625" style="46" customWidth="1"/>
    <col min="1794" max="1795" width="11.42578125" style="46"/>
    <col min="1796" max="1796" width="13" style="46" bestFit="1" customWidth="1"/>
    <col min="1797" max="1797" width="13.140625" style="46" customWidth="1"/>
    <col min="1798" max="1798" width="20.7109375" style="46" customWidth="1"/>
    <col min="1799" max="1799" width="13.28515625" style="46" customWidth="1"/>
    <col min="1800" max="1803" width="11.42578125" style="46"/>
    <col min="1804" max="1804" width="12.7109375" style="46" bestFit="1" customWidth="1"/>
    <col min="1805" max="1805" width="13" style="46" bestFit="1" customWidth="1"/>
    <col min="1806" max="1806" width="11.42578125" style="46"/>
    <col min="1807" max="1807" width="12" style="46" bestFit="1" customWidth="1"/>
    <col min="1808" max="2048" width="11.42578125" style="46"/>
    <col min="2049" max="2049" width="15.28515625" style="46" customWidth="1"/>
    <col min="2050" max="2051" width="11.42578125" style="46"/>
    <col min="2052" max="2052" width="13" style="46" bestFit="1" customWidth="1"/>
    <col min="2053" max="2053" width="13.140625" style="46" customWidth="1"/>
    <col min="2054" max="2054" width="20.7109375" style="46" customWidth="1"/>
    <col min="2055" max="2055" width="13.28515625" style="46" customWidth="1"/>
    <col min="2056" max="2059" width="11.42578125" style="46"/>
    <col min="2060" max="2060" width="12.7109375" style="46" bestFit="1" customWidth="1"/>
    <col min="2061" max="2061" width="13" style="46" bestFit="1" customWidth="1"/>
    <col min="2062" max="2062" width="11.42578125" style="46"/>
    <col min="2063" max="2063" width="12" style="46" bestFit="1" customWidth="1"/>
    <col min="2064" max="2304" width="11.42578125" style="46"/>
    <col min="2305" max="2305" width="15.28515625" style="46" customWidth="1"/>
    <col min="2306" max="2307" width="11.42578125" style="46"/>
    <col min="2308" max="2308" width="13" style="46" bestFit="1" customWidth="1"/>
    <col min="2309" max="2309" width="13.140625" style="46" customWidth="1"/>
    <col min="2310" max="2310" width="20.7109375" style="46" customWidth="1"/>
    <col min="2311" max="2311" width="13.28515625" style="46" customWidth="1"/>
    <col min="2312" max="2315" width="11.42578125" style="46"/>
    <col min="2316" max="2316" width="12.7109375" style="46" bestFit="1" customWidth="1"/>
    <col min="2317" max="2317" width="13" style="46" bestFit="1" customWidth="1"/>
    <col min="2318" max="2318" width="11.42578125" style="46"/>
    <col min="2319" max="2319" width="12" style="46" bestFit="1" customWidth="1"/>
    <col min="2320" max="2560" width="11.42578125" style="46"/>
    <col min="2561" max="2561" width="15.28515625" style="46" customWidth="1"/>
    <col min="2562" max="2563" width="11.42578125" style="46"/>
    <col min="2564" max="2564" width="13" style="46" bestFit="1" customWidth="1"/>
    <col min="2565" max="2565" width="13.140625" style="46" customWidth="1"/>
    <col min="2566" max="2566" width="20.7109375" style="46" customWidth="1"/>
    <col min="2567" max="2567" width="13.28515625" style="46" customWidth="1"/>
    <col min="2568" max="2571" width="11.42578125" style="46"/>
    <col min="2572" max="2572" width="12.7109375" style="46" bestFit="1" customWidth="1"/>
    <col min="2573" max="2573" width="13" style="46" bestFit="1" customWidth="1"/>
    <col min="2574" max="2574" width="11.42578125" style="46"/>
    <col min="2575" max="2575" width="12" style="46" bestFit="1" customWidth="1"/>
    <col min="2576" max="2816" width="11.42578125" style="46"/>
    <col min="2817" max="2817" width="15.28515625" style="46" customWidth="1"/>
    <col min="2818" max="2819" width="11.42578125" style="46"/>
    <col min="2820" max="2820" width="13" style="46" bestFit="1" customWidth="1"/>
    <col min="2821" max="2821" width="13.140625" style="46" customWidth="1"/>
    <col min="2822" max="2822" width="20.7109375" style="46" customWidth="1"/>
    <col min="2823" max="2823" width="13.28515625" style="46" customWidth="1"/>
    <col min="2824" max="2827" width="11.42578125" style="46"/>
    <col min="2828" max="2828" width="12.7109375" style="46" bestFit="1" customWidth="1"/>
    <col min="2829" max="2829" width="13" style="46" bestFit="1" customWidth="1"/>
    <col min="2830" max="2830" width="11.42578125" style="46"/>
    <col min="2831" max="2831" width="12" style="46" bestFit="1" customWidth="1"/>
    <col min="2832" max="3072" width="11.42578125" style="46"/>
    <col min="3073" max="3073" width="15.28515625" style="46" customWidth="1"/>
    <col min="3074" max="3075" width="11.42578125" style="46"/>
    <col min="3076" max="3076" width="13" style="46" bestFit="1" customWidth="1"/>
    <col min="3077" max="3077" width="13.140625" style="46" customWidth="1"/>
    <col min="3078" max="3078" width="20.7109375" style="46" customWidth="1"/>
    <col min="3079" max="3079" width="13.28515625" style="46" customWidth="1"/>
    <col min="3080" max="3083" width="11.42578125" style="46"/>
    <col min="3084" max="3084" width="12.7109375" style="46" bestFit="1" customWidth="1"/>
    <col min="3085" max="3085" width="13" style="46" bestFit="1" customWidth="1"/>
    <col min="3086" max="3086" width="11.42578125" style="46"/>
    <col min="3087" max="3087" width="12" style="46" bestFit="1" customWidth="1"/>
    <col min="3088" max="3328" width="11.42578125" style="46"/>
    <col min="3329" max="3329" width="15.28515625" style="46" customWidth="1"/>
    <col min="3330" max="3331" width="11.42578125" style="46"/>
    <col min="3332" max="3332" width="13" style="46" bestFit="1" customWidth="1"/>
    <col min="3333" max="3333" width="13.140625" style="46" customWidth="1"/>
    <col min="3334" max="3334" width="20.7109375" style="46" customWidth="1"/>
    <col min="3335" max="3335" width="13.28515625" style="46" customWidth="1"/>
    <col min="3336" max="3339" width="11.42578125" style="46"/>
    <col min="3340" max="3340" width="12.7109375" style="46" bestFit="1" customWidth="1"/>
    <col min="3341" max="3341" width="13" style="46" bestFit="1" customWidth="1"/>
    <col min="3342" max="3342" width="11.42578125" style="46"/>
    <col min="3343" max="3343" width="12" style="46" bestFit="1" customWidth="1"/>
    <col min="3344" max="3584" width="11.42578125" style="46"/>
    <col min="3585" max="3585" width="15.28515625" style="46" customWidth="1"/>
    <col min="3586" max="3587" width="11.42578125" style="46"/>
    <col min="3588" max="3588" width="13" style="46" bestFit="1" customWidth="1"/>
    <col min="3589" max="3589" width="13.140625" style="46" customWidth="1"/>
    <col min="3590" max="3590" width="20.7109375" style="46" customWidth="1"/>
    <col min="3591" max="3591" width="13.28515625" style="46" customWidth="1"/>
    <col min="3592" max="3595" width="11.42578125" style="46"/>
    <col min="3596" max="3596" width="12.7109375" style="46" bestFit="1" customWidth="1"/>
    <col min="3597" max="3597" width="13" style="46" bestFit="1" customWidth="1"/>
    <col min="3598" max="3598" width="11.42578125" style="46"/>
    <col min="3599" max="3599" width="12" style="46" bestFit="1" customWidth="1"/>
    <col min="3600" max="3840" width="11.42578125" style="46"/>
    <col min="3841" max="3841" width="15.28515625" style="46" customWidth="1"/>
    <col min="3842" max="3843" width="11.42578125" style="46"/>
    <col min="3844" max="3844" width="13" style="46" bestFit="1" customWidth="1"/>
    <col min="3845" max="3845" width="13.140625" style="46" customWidth="1"/>
    <col min="3846" max="3846" width="20.7109375" style="46" customWidth="1"/>
    <col min="3847" max="3847" width="13.28515625" style="46" customWidth="1"/>
    <col min="3848" max="3851" width="11.42578125" style="46"/>
    <col min="3852" max="3852" width="12.7109375" style="46" bestFit="1" customWidth="1"/>
    <col min="3853" max="3853" width="13" style="46" bestFit="1" customWidth="1"/>
    <col min="3854" max="3854" width="11.42578125" style="46"/>
    <col min="3855" max="3855" width="12" style="46" bestFit="1" customWidth="1"/>
    <col min="3856" max="4096" width="11.42578125" style="46"/>
    <col min="4097" max="4097" width="15.28515625" style="46" customWidth="1"/>
    <col min="4098" max="4099" width="11.42578125" style="46"/>
    <col min="4100" max="4100" width="13" style="46" bestFit="1" customWidth="1"/>
    <col min="4101" max="4101" width="13.140625" style="46" customWidth="1"/>
    <col min="4102" max="4102" width="20.7109375" style="46" customWidth="1"/>
    <col min="4103" max="4103" width="13.28515625" style="46" customWidth="1"/>
    <col min="4104" max="4107" width="11.42578125" style="46"/>
    <col min="4108" max="4108" width="12.7109375" style="46" bestFit="1" customWidth="1"/>
    <col min="4109" max="4109" width="13" style="46" bestFit="1" customWidth="1"/>
    <col min="4110" max="4110" width="11.42578125" style="46"/>
    <col min="4111" max="4111" width="12" style="46" bestFit="1" customWidth="1"/>
    <col min="4112" max="4352" width="11.42578125" style="46"/>
    <col min="4353" max="4353" width="15.28515625" style="46" customWidth="1"/>
    <col min="4354" max="4355" width="11.42578125" style="46"/>
    <col min="4356" max="4356" width="13" style="46" bestFit="1" customWidth="1"/>
    <col min="4357" max="4357" width="13.140625" style="46" customWidth="1"/>
    <col min="4358" max="4358" width="20.7109375" style="46" customWidth="1"/>
    <col min="4359" max="4359" width="13.28515625" style="46" customWidth="1"/>
    <col min="4360" max="4363" width="11.42578125" style="46"/>
    <col min="4364" max="4364" width="12.7109375" style="46" bestFit="1" customWidth="1"/>
    <col min="4365" max="4365" width="13" style="46" bestFit="1" customWidth="1"/>
    <col min="4366" max="4366" width="11.42578125" style="46"/>
    <col min="4367" max="4367" width="12" style="46" bestFit="1" customWidth="1"/>
    <col min="4368" max="4608" width="11.42578125" style="46"/>
    <col min="4609" max="4609" width="15.28515625" style="46" customWidth="1"/>
    <col min="4610" max="4611" width="11.42578125" style="46"/>
    <col min="4612" max="4612" width="13" style="46" bestFit="1" customWidth="1"/>
    <col min="4613" max="4613" width="13.140625" style="46" customWidth="1"/>
    <col min="4614" max="4614" width="20.7109375" style="46" customWidth="1"/>
    <col min="4615" max="4615" width="13.28515625" style="46" customWidth="1"/>
    <col min="4616" max="4619" width="11.42578125" style="46"/>
    <col min="4620" max="4620" width="12.7109375" style="46" bestFit="1" customWidth="1"/>
    <col min="4621" max="4621" width="13" style="46" bestFit="1" customWidth="1"/>
    <col min="4622" max="4622" width="11.42578125" style="46"/>
    <col min="4623" max="4623" width="12" style="46" bestFit="1" customWidth="1"/>
    <col min="4624" max="4864" width="11.42578125" style="46"/>
    <col min="4865" max="4865" width="15.28515625" style="46" customWidth="1"/>
    <col min="4866" max="4867" width="11.42578125" style="46"/>
    <col min="4868" max="4868" width="13" style="46" bestFit="1" customWidth="1"/>
    <col min="4869" max="4869" width="13.140625" style="46" customWidth="1"/>
    <col min="4870" max="4870" width="20.7109375" style="46" customWidth="1"/>
    <col min="4871" max="4871" width="13.28515625" style="46" customWidth="1"/>
    <col min="4872" max="4875" width="11.42578125" style="46"/>
    <col min="4876" max="4876" width="12.7109375" style="46" bestFit="1" customWidth="1"/>
    <col min="4877" max="4877" width="13" style="46" bestFit="1" customWidth="1"/>
    <col min="4878" max="4878" width="11.42578125" style="46"/>
    <col min="4879" max="4879" width="12" style="46" bestFit="1" customWidth="1"/>
    <col min="4880" max="5120" width="11.42578125" style="46"/>
    <col min="5121" max="5121" width="15.28515625" style="46" customWidth="1"/>
    <col min="5122" max="5123" width="11.42578125" style="46"/>
    <col min="5124" max="5124" width="13" style="46" bestFit="1" customWidth="1"/>
    <col min="5125" max="5125" width="13.140625" style="46" customWidth="1"/>
    <col min="5126" max="5126" width="20.7109375" style="46" customWidth="1"/>
    <col min="5127" max="5127" width="13.28515625" style="46" customWidth="1"/>
    <col min="5128" max="5131" width="11.42578125" style="46"/>
    <col min="5132" max="5132" width="12.7109375" style="46" bestFit="1" customWidth="1"/>
    <col min="5133" max="5133" width="13" style="46" bestFit="1" customWidth="1"/>
    <col min="5134" max="5134" width="11.42578125" style="46"/>
    <col min="5135" max="5135" width="12" style="46" bestFit="1" customWidth="1"/>
    <col min="5136" max="5376" width="11.42578125" style="46"/>
    <col min="5377" max="5377" width="15.28515625" style="46" customWidth="1"/>
    <col min="5378" max="5379" width="11.42578125" style="46"/>
    <col min="5380" max="5380" width="13" style="46" bestFit="1" customWidth="1"/>
    <col min="5381" max="5381" width="13.140625" style="46" customWidth="1"/>
    <col min="5382" max="5382" width="20.7109375" style="46" customWidth="1"/>
    <col min="5383" max="5383" width="13.28515625" style="46" customWidth="1"/>
    <col min="5384" max="5387" width="11.42578125" style="46"/>
    <col min="5388" max="5388" width="12.7109375" style="46" bestFit="1" customWidth="1"/>
    <col min="5389" max="5389" width="13" style="46" bestFit="1" customWidth="1"/>
    <col min="5390" max="5390" width="11.42578125" style="46"/>
    <col min="5391" max="5391" width="12" style="46" bestFit="1" customWidth="1"/>
    <col min="5392" max="5632" width="11.42578125" style="46"/>
    <col min="5633" max="5633" width="15.28515625" style="46" customWidth="1"/>
    <col min="5634" max="5635" width="11.42578125" style="46"/>
    <col min="5636" max="5636" width="13" style="46" bestFit="1" customWidth="1"/>
    <col min="5637" max="5637" width="13.140625" style="46" customWidth="1"/>
    <col min="5638" max="5638" width="20.7109375" style="46" customWidth="1"/>
    <col min="5639" max="5639" width="13.28515625" style="46" customWidth="1"/>
    <col min="5640" max="5643" width="11.42578125" style="46"/>
    <col min="5644" max="5644" width="12.7109375" style="46" bestFit="1" customWidth="1"/>
    <col min="5645" max="5645" width="13" style="46" bestFit="1" customWidth="1"/>
    <col min="5646" max="5646" width="11.42578125" style="46"/>
    <col min="5647" max="5647" width="12" style="46" bestFit="1" customWidth="1"/>
    <col min="5648" max="5888" width="11.42578125" style="46"/>
    <col min="5889" max="5889" width="15.28515625" style="46" customWidth="1"/>
    <col min="5890" max="5891" width="11.42578125" style="46"/>
    <col min="5892" max="5892" width="13" style="46" bestFit="1" customWidth="1"/>
    <col min="5893" max="5893" width="13.140625" style="46" customWidth="1"/>
    <col min="5894" max="5894" width="20.7109375" style="46" customWidth="1"/>
    <col min="5895" max="5895" width="13.28515625" style="46" customWidth="1"/>
    <col min="5896" max="5899" width="11.42578125" style="46"/>
    <col min="5900" max="5900" width="12.7109375" style="46" bestFit="1" customWidth="1"/>
    <col min="5901" max="5901" width="13" style="46" bestFit="1" customWidth="1"/>
    <col min="5902" max="5902" width="11.42578125" style="46"/>
    <col min="5903" max="5903" width="12" style="46" bestFit="1" customWidth="1"/>
    <col min="5904" max="6144" width="11.42578125" style="46"/>
    <col min="6145" max="6145" width="15.28515625" style="46" customWidth="1"/>
    <col min="6146" max="6147" width="11.42578125" style="46"/>
    <col min="6148" max="6148" width="13" style="46" bestFit="1" customWidth="1"/>
    <col min="6149" max="6149" width="13.140625" style="46" customWidth="1"/>
    <col min="6150" max="6150" width="20.7109375" style="46" customWidth="1"/>
    <col min="6151" max="6151" width="13.28515625" style="46" customWidth="1"/>
    <col min="6152" max="6155" width="11.42578125" style="46"/>
    <col min="6156" max="6156" width="12.7109375" style="46" bestFit="1" customWidth="1"/>
    <col min="6157" max="6157" width="13" style="46" bestFit="1" customWidth="1"/>
    <col min="6158" max="6158" width="11.42578125" style="46"/>
    <col min="6159" max="6159" width="12" style="46" bestFit="1" customWidth="1"/>
    <col min="6160" max="6400" width="11.42578125" style="46"/>
    <col min="6401" max="6401" width="15.28515625" style="46" customWidth="1"/>
    <col min="6402" max="6403" width="11.42578125" style="46"/>
    <col min="6404" max="6404" width="13" style="46" bestFit="1" customWidth="1"/>
    <col min="6405" max="6405" width="13.140625" style="46" customWidth="1"/>
    <col min="6406" max="6406" width="20.7109375" style="46" customWidth="1"/>
    <col min="6407" max="6407" width="13.28515625" style="46" customWidth="1"/>
    <col min="6408" max="6411" width="11.42578125" style="46"/>
    <col min="6412" max="6412" width="12.7109375" style="46" bestFit="1" customWidth="1"/>
    <col min="6413" max="6413" width="13" style="46" bestFit="1" customWidth="1"/>
    <col min="6414" max="6414" width="11.42578125" style="46"/>
    <col min="6415" max="6415" width="12" style="46" bestFit="1" customWidth="1"/>
    <col min="6416" max="6656" width="11.42578125" style="46"/>
    <col min="6657" max="6657" width="15.28515625" style="46" customWidth="1"/>
    <col min="6658" max="6659" width="11.42578125" style="46"/>
    <col min="6660" max="6660" width="13" style="46" bestFit="1" customWidth="1"/>
    <col min="6661" max="6661" width="13.140625" style="46" customWidth="1"/>
    <col min="6662" max="6662" width="20.7109375" style="46" customWidth="1"/>
    <col min="6663" max="6663" width="13.28515625" style="46" customWidth="1"/>
    <col min="6664" max="6667" width="11.42578125" style="46"/>
    <col min="6668" max="6668" width="12.7109375" style="46" bestFit="1" customWidth="1"/>
    <col min="6669" max="6669" width="13" style="46" bestFit="1" customWidth="1"/>
    <col min="6670" max="6670" width="11.42578125" style="46"/>
    <col min="6671" max="6671" width="12" style="46" bestFit="1" customWidth="1"/>
    <col min="6672" max="6912" width="11.42578125" style="46"/>
    <col min="6913" max="6913" width="15.28515625" style="46" customWidth="1"/>
    <col min="6914" max="6915" width="11.42578125" style="46"/>
    <col min="6916" max="6916" width="13" style="46" bestFit="1" customWidth="1"/>
    <col min="6917" max="6917" width="13.140625" style="46" customWidth="1"/>
    <col min="6918" max="6918" width="20.7109375" style="46" customWidth="1"/>
    <col min="6919" max="6919" width="13.28515625" style="46" customWidth="1"/>
    <col min="6920" max="6923" width="11.42578125" style="46"/>
    <col min="6924" max="6924" width="12.7109375" style="46" bestFit="1" customWidth="1"/>
    <col min="6925" max="6925" width="13" style="46" bestFit="1" customWidth="1"/>
    <col min="6926" max="6926" width="11.42578125" style="46"/>
    <col min="6927" max="6927" width="12" style="46" bestFit="1" customWidth="1"/>
    <col min="6928" max="7168" width="11.42578125" style="46"/>
    <col min="7169" max="7169" width="15.28515625" style="46" customWidth="1"/>
    <col min="7170" max="7171" width="11.42578125" style="46"/>
    <col min="7172" max="7172" width="13" style="46" bestFit="1" customWidth="1"/>
    <col min="7173" max="7173" width="13.140625" style="46" customWidth="1"/>
    <col min="7174" max="7174" width="20.7109375" style="46" customWidth="1"/>
    <col min="7175" max="7175" width="13.28515625" style="46" customWidth="1"/>
    <col min="7176" max="7179" width="11.42578125" style="46"/>
    <col min="7180" max="7180" width="12.7109375" style="46" bestFit="1" customWidth="1"/>
    <col min="7181" max="7181" width="13" style="46" bestFit="1" customWidth="1"/>
    <col min="7182" max="7182" width="11.42578125" style="46"/>
    <col min="7183" max="7183" width="12" style="46" bestFit="1" customWidth="1"/>
    <col min="7184" max="7424" width="11.42578125" style="46"/>
    <col min="7425" max="7425" width="15.28515625" style="46" customWidth="1"/>
    <col min="7426" max="7427" width="11.42578125" style="46"/>
    <col min="7428" max="7428" width="13" style="46" bestFit="1" customWidth="1"/>
    <col min="7429" max="7429" width="13.140625" style="46" customWidth="1"/>
    <col min="7430" max="7430" width="20.7109375" style="46" customWidth="1"/>
    <col min="7431" max="7431" width="13.28515625" style="46" customWidth="1"/>
    <col min="7432" max="7435" width="11.42578125" style="46"/>
    <col min="7436" max="7436" width="12.7109375" style="46" bestFit="1" customWidth="1"/>
    <col min="7437" max="7437" width="13" style="46" bestFit="1" customWidth="1"/>
    <col min="7438" max="7438" width="11.42578125" style="46"/>
    <col min="7439" max="7439" width="12" style="46" bestFit="1" customWidth="1"/>
    <col min="7440" max="7680" width="11.42578125" style="46"/>
    <col min="7681" max="7681" width="15.28515625" style="46" customWidth="1"/>
    <col min="7682" max="7683" width="11.42578125" style="46"/>
    <col min="7684" max="7684" width="13" style="46" bestFit="1" customWidth="1"/>
    <col min="7685" max="7685" width="13.140625" style="46" customWidth="1"/>
    <col min="7686" max="7686" width="20.7109375" style="46" customWidth="1"/>
    <col min="7687" max="7687" width="13.28515625" style="46" customWidth="1"/>
    <col min="7688" max="7691" width="11.42578125" style="46"/>
    <col min="7692" max="7692" width="12.7109375" style="46" bestFit="1" customWidth="1"/>
    <col min="7693" max="7693" width="13" style="46" bestFit="1" customWidth="1"/>
    <col min="7694" max="7694" width="11.42578125" style="46"/>
    <col min="7695" max="7695" width="12" style="46" bestFit="1" customWidth="1"/>
    <col min="7696" max="7936" width="11.42578125" style="46"/>
    <col min="7937" max="7937" width="15.28515625" style="46" customWidth="1"/>
    <col min="7938" max="7939" width="11.42578125" style="46"/>
    <col min="7940" max="7940" width="13" style="46" bestFit="1" customWidth="1"/>
    <col min="7941" max="7941" width="13.140625" style="46" customWidth="1"/>
    <col min="7942" max="7942" width="20.7109375" style="46" customWidth="1"/>
    <col min="7943" max="7943" width="13.28515625" style="46" customWidth="1"/>
    <col min="7944" max="7947" width="11.42578125" style="46"/>
    <col min="7948" max="7948" width="12.7109375" style="46" bestFit="1" customWidth="1"/>
    <col min="7949" max="7949" width="13" style="46" bestFit="1" customWidth="1"/>
    <col min="7950" max="7950" width="11.42578125" style="46"/>
    <col min="7951" max="7951" width="12" style="46" bestFit="1" customWidth="1"/>
    <col min="7952" max="8192" width="11.42578125" style="46"/>
    <col min="8193" max="8193" width="15.28515625" style="46" customWidth="1"/>
    <col min="8194" max="8195" width="11.42578125" style="46"/>
    <col min="8196" max="8196" width="13" style="46" bestFit="1" customWidth="1"/>
    <col min="8197" max="8197" width="13.140625" style="46" customWidth="1"/>
    <col min="8198" max="8198" width="20.7109375" style="46" customWidth="1"/>
    <col min="8199" max="8199" width="13.28515625" style="46" customWidth="1"/>
    <col min="8200" max="8203" width="11.42578125" style="46"/>
    <col min="8204" max="8204" width="12.7109375" style="46" bestFit="1" customWidth="1"/>
    <col min="8205" max="8205" width="13" style="46" bestFit="1" customWidth="1"/>
    <col min="8206" max="8206" width="11.42578125" style="46"/>
    <col min="8207" max="8207" width="12" style="46" bestFit="1" customWidth="1"/>
    <col min="8208" max="8448" width="11.42578125" style="46"/>
    <col min="8449" max="8449" width="15.28515625" style="46" customWidth="1"/>
    <col min="8450" max="8451" width="11.42578125" style="46"/>
    <col min="8452" max="8452" width="13" style="46" bestFit="1" customWidth="1"/>
    <col min="8453" max="8453" width="13.140625" style="46" customWidth="1"/>
    <col min="8454" max="8454" width="20.7109375" style="46" customWidth="1"/>
    <col min="8455" max="8455" width="13.28515625" style="46" customWidth="1"/>
    <col min="8456" max="8459" width="11.42578125" style="46"/>
    <col min="8460" max="8460" width="12.7109375" style="46" bestFit="1" customWidth="1"/>
    <col min="8461" max="8461" width="13" style="46" bestFit="1" customWidth="1"/>
    <col min="8462" max="8462" width="11.42578125" style="46"/>
    <col min="8463" max="8463" width="12" style="46" bestFit="1" customWidth="1"/>
    <col min="8464" max="8704" width="11.42578125" style="46"/>
    <col min="8705" max="8705" width="15.28515625" style="46" customWidth="1"/>
    <col min="8706" max="8707" width="11.42578125" style="46"/>
    <col min="8708" max="8708" width="13" style="46" bestFit="1" customWidth="1"/>
    <col min="8709" max="8709" width="13.140625" style="46" customWidth="1"/>
    <col min="8710" max="8710" width="20.7109375" style="46" customWidth="1"/>
    <col min="8711" max="8711" width="13.28515625" style="46" customWidth="1"/>
    <col min="8712" max="8715" width="11.42578125" style="46"/>
    <col min="8716" max="8716" width="12.7109375" style="46" bestFit="1" customWidth="1"/>
    <col min="8717" max="8717" width="13" style="46" bestFit="1" customWidth="1"/>
    <col min="8718" max="8718" width="11.42578125" style="46"/>
    <col min="8719" max="8719" width="12" style="46" bestFit="1" customWidth="1"/>
    <col min="8720" max="8960" width="11.42578125" style="46"/>
    <col min="8961" max="8961" width="15.28515625" style="46" customWidth="1"/>
    <col min="8962" max="8963" width="11.42578125" style="46"/>
    <col min="8964" max="8964" width="13" style="46" bestFit="1" customWidth="1"/>
    <col min="8965" max="8965" width="13.140625" style="46" customWidth="1"/>
    <col min="8966" max="8966" width="20.7109375" style="46" customWidth="1"/>
    <col min="8967" max="8967" width="13.28515625" style="46" customWidth="1"/>
    <col min="8968" max="8971" width="11.42578125" style="46"/>
    <col min="8972" max="8972" width="12.7109375" style="46" bestFit="1" customWidth="1"/>
    <col min="8973" max="8973" width="13" style="46" bestFit="1" customWidth="1"/>
    <col min="8974" max="8974" width="11.42578125" style="46"/>
    <col min="8975" max="8975" width="12" style="46" bestFit="1" customWidth="1"/>
    <col min="8976" max="9216" width="11.42578125" style="46"/>
    <col min="9217" max="9217" width="15.28515625" style="46" customWidth="1"/>
    <col min="9218" max="9219" width="11.42578125" style="46"/>
    <col min="9220" max="9220" width="13" style="46" bestFit="1" customWidth="1"/>
    <col min="9221" max="9221" width="13.140625" style="46" customWidth="1"/>
    <col min="9222" max="9222" width="20.7109375" style="46" customWidth="1"/>
    <col min="9223" max="9223" width="13.28515625" style="46" customWidth="1"/>
    <col min="9224" max="9227" width="11.42578125" style="46"/>
    <col min="9228" max="9228" width="12.7109375" style="46" bestFit="1" customWidth="1"/>
    <col min="9229" max="9229" width="13" style="46" bestFit="1" customWidth="1"/>
    <col min="9230" max="9230" width="11.42578125" style="46"/>
    <col min="9231" max="9231" width="12" style="46" bestFit="1" customWidth="1"/>
    <col min="9232" max="9472" width="11.42578125" style="46"/>
    <col min="9473" max="9473" width="15.28515625" style="46" customWidth="1"/>
    <col min="9474" max="9475" width="11.42578125" style="46"/>
    <col min="9476" max="9476" width="13" style="46" bestFit="1" customWidth="1"/>
    <col min="9477" max="9477" width="13.140625" style="46" customWidth="1"/>
    <col min="9478" max="9478" width="20.7109375" style="46" customWidth="1"/>
    <col min="9479" max="9479" width="13.28515625" style="46" customWidth="1"/>
    <col min="9480" max="9483" width="11.42578125" style="46"/>
    <col min="9484" max="9484" width="12.7109375" style="46" bestFit="1" customWidth="1"/>
    <col min="9485" max="9485" width="13" style="46" bestFit="1" customWidth="1"/>
    <col min="9486" max="9486" width="11.42578125" style="46"/>
    <col min="9487" max="9487" width="12" style="46" bestFit="1" customWidth="1"/>
    <col min="9488" max="9728" width="11.42578125" style="46"/>
    <col min="9729" max="9729" width="15.28515625" style="46" customWidth="1"/>
    <col min="9730" max="9731" width="11.42578125" style="46"/>
    <col min="9732" max="9732" width="13" style="46" bestFit="1" customWidth="1"/>
    <col min="9733" max="9733" width="13.140625" style="46" customWidth="1"/>
    <col min="9734" max="9734" width="20.7109375" style="46" customWidth="1"/>
    <col min="9735" max="9735" width="13.28515625" style="46" customWidth="1"/>
    <col min="9736" max="9739" width="11.42578125" style="46"/>
    <col min="9740" max="9740" width="12.7109375" style="46" bestFit="1" customWidth="1"/>
    <col min="9741" max="9741" width="13" style="46" bestFit="1" customWidth="1"/>
    <col min="9742" max="9742" width="11.42578125" style="46"/>
    <col min="9743" max="9743" width="12" style="46" bestFit="1" customWidth="1"/>
    <col min="9744" max="9984" width="11.42578125" style="46"/>
    <col min="9985" max="9985" width="15.28515625" style="46" customWidth="1"/>
    <col min="9986" max="9987" width="11.42578125" style="46"/>
    <col min="9988" max="9988" width="13" style="46" bestFit="1" customWidth="1"/>
    <col min="9989" max="9989" width="13.140625" style="46" customWidth="1"/>
    <col min="9990" max="9990" width="20.7109375" style="46" customWidth="1"/>
    <col min="9991" max="9991" width="13.28515625" style="46" customWidth="1"/>
    <col min="9992" max="9995" width="11.42578125" style="46"/>
    <col min="9996" max="9996" width="12.7109375" style="46" bestFit="1" customWidth="1"/>
    <col min="9997" max="9997" width="13" style="46" bestFit="1" customWidth="1"/>
    <col min="9998" max="9998" width="11.42578125" style="46"/>
    <col min="9999" max="9999" width="12" style="46" bestFit="1" customWidth="1"/>
    <col min="10000" max="10240" width="11.42578125" style="46"/>
    <col min="10241" max="10241" width="15.28515625" style="46" customWidth="1"/>
    <col min="10242" max="10243" width="11.42578125" style="46"/>
    <col min="10244" max="10244" width="13" style="46" bestFit="1" customWidth="1"/>
    <col min="10245" max="10245" width="13.140625" style="46" customWidth="1"/>
    <col min="10246" max="10246" width="20.7109375" style="46" customWidth="1"/>
    <col min="10247" max="10247" width="13.28515625" style="46" customWidth="1"/>
    <col min="10248" max="10251" width="11.42578125" style="46"/>
    <col min="10252" max="10252" width="12.7109375" style="46" bestFit="1" customWidth="1"/>
    <col min="10253" max="10253" width="13" style="46" bestFit="1" customWidth="1"/>
    <col min="10254" max="10254" width="11.42578125" style="46"/>
    <col min="10255" max="10255" width="12" style="46" bestFit="1" customWidth="1"/>
    <col min="10256" max="10496" width="11.42578125" style="46"/>
    <col min="10497" max="10497" width="15.28515625" style="46" customWidth="1"/>
    <col min="10498" max="10499" width="11.42578125" style="46"/>
    <col min="10500" max="10500" width="13" style="46" bestFit="1" customWidth="1"/>
    <col min="10501" max="10501" width="13.140625" style="46" customWidth="1"/>
    <col min="10502" max="10502" width="20.7109375" style="46" customWidth="1"/>
    <col min="10503" max="10503" width="13.28515625" style="46" customWidth="1"/>
    <col min="10504" max="10507" width="11.42578125" style="46"/>
    <col min="10508" max="10508" width="12.7109375" style="46" bestFit="1" customWidth="1"/>
    <col min="10509" max="10509" width="13" style="46" bestFit="1" customWidth="1"/>
    <col min="10510" max="10510" width="11.42578125" style="46"/>
    <col min="10511" max="10511" width="12" style="46" bestFit="1" customWidth="1"/>
    <col min="10512" max="10752" width="11.42578125" style="46"/>
    <col min="10753" max="10753" width="15.28515625" style="46" customWidth="1"/>
    <col min="10754" max="10755" width="11.42578125" style="46"/>
    <col min="10756" max="10756" width="13" style="46" bestFit="1" customWidth="1"/>
    <col min="10757" max="10757" width="13.140625" style="46" customWidth="1"/>
    <col min="10758" max="10758" width="20.7109375" style="46" customWidth="1"/>
    <col min="10759" max="10759" width="13.28515625" style="46" customWidth="1"/>
    <col min="10760" max="10763" width="11.42578125" style="46"/>
    <col min="10764" max="10764" width="12.7109375" style="46" bestFit="1" customWidth="1"/>
    <col min="10765" max="10765" width="13" style="46" bestFit="1" customWidth="1"/>
    <col min="10766" max="10766" width="11.42578125" style="46"/>
    <col min="10767" max="10767" width="12" style="46" bestFit="1" customWidth="1"/>
    <col min="10768" max="11008" width="11.42578125" style="46"/>
    <col min="11009" max="11009" width="15.28515625" style="46" customWidth="1"/>
    <col min="11010" max="11011" width="11.42578125" style="46"/>
    <col min="11012" max="11012" width="13" style="46" bestFit="1" customWidth="1"/>
    <col min="11013" max="11013" width="13.140625" style="46" customWidth="1"/>
    <col min="11014" max="11014" width="20.7109375" style="46" customWidth="1"/>
    <col min="11015" max="11015" width="13.28515625" style="46" customWidth="1"/>
    <col min="11016" max="11019" width="11.42578125" style="46"/>
    <col min="11020" max="11020" width="12.7109375" style="46" bestFit="1" customWidth="1"/>
    <col min="11021" max="11021" width="13" style="46" bestFit="1" customWidth="1"/>
    <col min="11022" max="11022" width="11.42578125" style="46"/>
    <col min="11023" max="11023" width="12" style="46" bestFit="1" customWidth="1"/>
    <col min="11024" max="11264" width="11.42578125" style="46"/>
    <col min="11265" max="11265" width="15.28515625" style="46" customWidth="1"/>
    <col min="11266" max="11267" width="11.42578125" style="46"/>
    <col min="11268" max="11268" width="13" style="46" bestFit="1" customWidth="1"/>
    <col min="11269" max="11269" width="13.140625" style="46" customWidth="1"/>
    <col min="11270" max="11270" width="20.7109375" style="46" customWidth="1"/>
    <col min="11271" max="11271" width="13.28515625" style="46" customWidth="1"/>
    <col min="11272" max="11275" width="11.42578125" style="46"/>
    <col min="11276" max="11276" width="12.7109375" style="46" bestFit="1" customWidth="1"/>
    <col min="11277" max="11277" width="13" style="46" bestFit="1" customWidth="1"/>
    <col min="11278" max="11278" width="11.42578125" style="46"/>
    <col min="11279" max="11279" width="12" style="46" bestFit="1" customWidth="1"/>
    <col min="11280" max="11520" width="11.42578125" style="46"/>
    <col min="11521" max="11521" width="15.28515625" style="46" customWidth="1"/>
    <col min="11522" max="11523" width="11.42578125" style="46"/>
    <col min="11524" max="11524" width="13" style="46" bestFit="1" customWidth="1"/>
    <col min="11525" max="11525" width="13.140625" style="46" customWidth="1"/>
    <col min="11526" max="11526" width="20.7109375" style="46" customWidth="1"/>
    <col min="11527" max="11527" width="13.28515625" style="46" customWidth="1"/>
    <col min="11528" max="11531" width="11.42578125" style="46"/>
    <col min="11532" max="11532" width="12.7109375" style="46" bestFit="1" customWidth="1"/>
    <col min="11533" max="11533" width="13" style="46" bestFit="1" customWidth="1"/>
    <col min="11534" max="11534" width="11.42578125" style="46"/>
    <col min="11535" max="11535" width="12" style="46" bestFit="1" customWidth="1"/>
    <col min="11536" max="11776" width="11.42578125" style="46"/>
    <col min="11777" max="11777" width="15.28515625" style="46" customWidth="1"/>
    <col min="11778" max="11779" width="11.42578125" style="46"/>
    <col min="11780" max="11780" width="13" style="46" bestFit="1" customWidth="1"/>
    <col min="11781" max="11781" width="13.140625" style="46" customWidth="1"/>
    <col min="11782" max="11782" width="20.7109375" style="46" customWidth="1"/>
    <col min="11783" max="11783" width="13.28515625" style="46" customWidth="1"/>
    <col min="11784" max="11787" width="11.42578125" style="46"/>
    <col min="11788" max="11788" width="12.7109375" style="46" bestFit="1" customWidth="1"/>
    <col min="11789" max="11789" width="13" style="46" bestFit="1" customWidth="1"/>
    <col min="11790" max="11790" width="11.42578125" style="46"/>
    <col min="11791" max="11791" width="12" style="46" bestFit="1" customWidth="1"/>
    <col min="11792" max="12032" width="11.42578125" style="46"/>
    <col min="12033" max="12033" width="15.28515625" style="46" customWidth="1"/>
    <col min="12034" max="12035" width="11.42578125" style="46"/>
    <col min="12036" max="12036" width="13" style="46" bestFit="1" customWidth="1"/>
    <col min="12037" max="12037" width="13.140625" style="46" customWidth="1"/>
    <col min="12038" max="12038" width="20.7109375" style="46" customWidth="1"/>
    <col min="12039" max="12039" width="13.28515625" style="46" customWidth="1"/>
    <col min="12040" max="12043" width="11.42578125" style="46"/>
    <col min="12044" max="12044" width="12.7109375" style="46" bestFit="1" customWidth="1"/>
    <col min="12045" max="12045" width="13" style="46" bestFit="1" customWidth="1"/>
    <col min="12046" max="12046" width="11.42578125" style="46"/>
    <col min="12047" max="12047" width="12" style="46" bestFit="1" customWidth="1"/>
    <col min="12048" max="12288" width="11.42578125" style="46"/>
    <col min="12289" max="12289" width="15.28515625" style="46" customWidth="1"/>
    <col min="12290" max="12291" width="11.42578125" style="46"/>
    <col min="12292" max="12292" width="13" style="46" bestFit="1" customWidth="1"/>
    <col min="12293" max="12293" width="13.140625" style="46" customWidth="1"/>
    <col min="12294" max="12294" width="20.7109375" style="46" customWidth="1"/>
    <col min="12295" max="12295" width="13.28515625" style="46" customWidth="1"/>
    <col min="12296" max="12299" width="11.42578125" style="46"/>
    <col min="12300" max="12300" width="12.7109375" style="46" bestFit="1" customWidth="1"/>
    <col min="12301" max="12301" width="13" style="46" bestFit="1" customWidth="1"/>
    <col min="12302" max="12302" width="11.42578125" style="46"/>
    <col min="12303" max="12303" width="12" style="46" bestFit="1" customWidth="1"/>
    <col min="12304" max="12544" width="11.42578125" style="46"/>
    <col min="12545" max="12545" width="15.28515625" style="46" customWidth="1"/>
    <col min="12546" max="12547" width="11.42578125" style="46"/>
    <col min="12548" max="12548" width="13" style="46" bestFit="1" customWidth="1"/>
    <col min="12549" max="12549" width="13.140625" style="46" customWidth="1"/>
    <col min="12550" max="12550" width="20.7109375" style="46" customWidth="1"/>
    <col min="12551" max="12551" width="13.28515625" style="46" customWidth="1"/>
    <col min="12552" max="12555" width="11.42578125" style="46"/>
    <col min="12556" max="12556" width="12.7109375" style="46" bestFit="1" customWidth="1"/>
    <col min="12557" max="12557" width="13" style="46" bestFit="1" customWidth="1"/>
    <col min="12558" max="12558" width="11.42578125" style="46"/>
    <col min="12559" max="12559" width="12" style="46" bestFit="1" customWidth="1"/>
    <col min="12560" max="12800" width="11.42578125" style="46"/>
    <col min="12801" max="12801" width="15.28515625" style="46" customWidth="1"/>
    <col min="12802" max="12803" width="11.42578125" style="46"/>
    <col min="12804" max="12804" width="13" style="46" bestFit="1" customWidth="1"/>
    <col min="12805" max="12805" width="13.140625" style="46" customWidth="1"/>
    <col min="12806" max="12806" width="20.7109375" style="46" customWidth="1"/>
    <col min="12807" max="12807" width="13.28515625" style="46" customWidth="1"/>
    <col min="12808" max="12811" width="11.42578125" style="46"/>
    <col min="12812" max="12812" width="12.7109375" style="46" bestFit="1" customWidth="1"/>
    <col min="12813" max="12813" width="13" style="46" bestFit="1" customWidth="1"/>
    <col min="12814" max="12814" width="11.42578125" style="46"/>
    <col min="12815" max="12815" width="12" style="46" bestFit="1" customWidth="1"/>
    <col min="12816" max="13056" width="11.42578125" style="46"/>
    <col min="13057" max="13057" width="15.28515625" style="46" customWidth="1"/>
    <col min="13058" max="13059" width="11.42578125" style="46"/>
    <col min="13060" max="13060" width="13" style="46" bestFit="1" customWidth="1"/>
    <col min="13061" max="13061" width="13.140625" style="46" customWidth="1"/>
    <col min="13062" max="13062" width="20.7109375" style="46" customWidth="1"/>
    <col min="13063" max="13063" width="13.28515625" style="46" customWidth="1"/>
    <col min="13064" max="13067" width="11.42578125" style="46"/>
    <col min="13068" max="13068" width="12.7109375" style="46" bestFit="1" customWidth="1"/>
    <col min="13069" max="13069" width="13" style="46" bestFit="1" customWidth="1"/>
    <col min="13070" max="13070" width="11.42578125" style="46"/>
    <col min="13071" max="13071" width="12" style="46" bestFit="1" customWidth="1"/>
    <col min="13072" max="13312" width="11.42578125" style="46"/>
    <col min="13313" max="13313" width="15.28515625" style="46" customWidth="1"/>
    <col min="13314" max="13315" width="11.42578125" style="46"/>
    <col min="13316" max="13316" width="13" style="46" bestFit="1" customWidth="1"/>
    <col min="13317" max="13317" width="13.140625" style="46" customWidth="1"/>
    <col min="13318" max="13318" width="20.7109375" style="46" customWidth="1"/>
    <col min="13319" max="13319" width="13.28515625" style="46" customWidth="1"/>
    <col min="13320" max="13323" width="11.42578125" style="46"/>
    <col min="13324" max="13324" width="12.7109375" style="46" bestFit="1" customWidth="1"/>
    <col min="13325" max="13325" width="13" style="46" bestFit="1" customWidth="1"/>
    <col min="13326" max="13326" width="11.42578125" style="46"/>
    <col min="13327" max="13327" width="12" style="46" bestFit="1" customWidth="1"/>
    <col min="13328" max="13568" width="11.42578125" style="46"/>
    <col min="13569" max="13569" width="15.28515625" style="46" customWidth="1"/>
    <col min="13570" max="13571" width="11.42578125" style="46"/>
    <col min="13572" max="13572" width="13" style="46" bestFit="1" customWidth="1"/>
    <col min="13573" max="13573" width="13.140625" style="46" customWidth="1"/>
    <col min="13574" max="13574" width="20.7109375" style="46" customWidth="1"/>
    <col min="13575" max="13575" width="13.28515625" style="46" customWidth="1"/>
    <col min="13576" max="13579" width="11.42578125" style="46"/>
    <col min="13580" max="13580" width="12.7109375" style="46" bestFit="1" customWidth="1"/>
    <col min="13581" max="13581" width="13" style="46" bestFit="1" customWidth="1"/>
    <col min="13582" max="13582" width="11.42578125" style="46"/>
    <col min="13583" max="13583" width="12" style="46" bestFit="1" customWidth="1"/>
    <col min="13584" max="13824" width="11.42578125" style="46"/>
    <col min="13825" max="13825" width="15.28515625" style="46" customWidth="1"/>
    <col min="13826" max="13827" width="11.42578125" style="46"/>
    <col min="13828" max="13828" width="13" style="46" bestFit="1" customWidth="1"/>
    <col min="13829" max="13829" width="13.140625" style="46" customWidth="1"/>
    <col min="13830" max="13830" width="20.7109375" style="46" customWidth="1"/>
    <col min="13831" max="13831" width="13.28515625" style="46" customWidth="1"/>
    <col min="13832" max="13835" width="11.42578125" style="46"/>
    <col min="13836" max="13836" width="12.7109375" style="46" bestFit="1" customWidth="1"/>
    <col min="13837" max="13837" width="13" style="46" bestFit="1" customWidth="1"/>
    <col min="13838" max="13838" width="11.42578125" style="46"/>
    <col min="13839" max="13839" width="12" style="46" bestFit="1" customWidth="1"/>
    <col min="13840" max="14080" width="11.42578125" style="46"/>
    <col min="14081" max="14081" width="15.28515625" style="46" customWidth="1"/>
    <col min="14082" max="14083" width="11.42578125" style="46"/>
    <col min="14084" max="14084" width="13" style="46" bestFit="1" customWidth="1"/>
    <col min="14085" max="14085" width="13.140625" style="46" customWidth="1"/>
    <col min="14086" max="14086" width="20.7109375" style="46" customWidth="1"/>
    <col min="14087" max="14087" width="13.28515625" style="46" customWidth="1"/>
    <col min="14088" max="14091" width="11.42578125" style="46"/>
    <col min="14092" max="14092" width="12.7109375" style="46" bestFit="1" customWidth="1"/>
    <col min="14093" max="14093" width="13" style="46" bestFit="1" customWidth="1"/>
    <col min="14094" max="14094" width="11.42578125" style="46"/>
    <col min="14095" max="14095" width="12" style="46" bestFit="1" customWidth="1"/>
    <col min="14096" max="14336" width="11.42578125" style="46"/>
    <col min="14337" max="14337" width="15.28515625" style="46" customWidth="1"/>
    <col min="14338" max="14339" width="11.42578125" style="46"/>
    <col min="14340" max="14340" width="13" style="46" bestFit="1" customWidth="1"/>
    <col min="14341" max="14341" width="13.140625" style="46" customWidth="1"/>
    <col min="14342" max="14342" width="20.7109375" style="46" customWidth="1"/>
    <col min="14343" max="14343" width="13.28515625" style="46" customWidth="1"/>
    <col min="14344" max="14347" width="11.42578125" style="46"/>
    <col min="14348" max="14348" width="12.7109375" style="46" bestFit="1" customWidth="1"/>
    <col min="14349" max="14349" width="13" style="46" bestFit="1" customWidth="1"/>
    <col min="14350" max="14350" width="11.42578125" style="46"/>
    <col min="14351" max="14351" width="12" style="46" bestFit="1" customWidth="1"/>
    <col min="14352" max="14592" width="11.42578125" style="46"/>
    <col min="14593" max="14593" width="15.28515625" style="46" customWidth="1"/>
    <col min="14594" max="14595" width="11.42578125" style="46"/>
    <col min="14596" max="14596" width="13" style="46" bestFit="1" customWidth="1"/>
    <col min="14597" max="14597" width="13.140625" style="46" customWidth="1"/>
    <col min="14598" max="14598" width="20.7109375" style="46" customWidth="1"/>
    <col min="14599" max="14599" width="13.28515625" style="46" customWidth="1"/>
    <col min="14600" max="14603" width="11.42578125" style="46"/>
    <col min="14604" max="14604" width="12.7109375" style="46" bestFit="1" customWidth="1"/>
    <col min="14605" max="14605" width="13" style="46" bestFit="1" customWidth="1"/>
    <col min="14606" max="14606" width="11.42578125" style="46"/>
    <col min="14607" max="14607" width="12" style="46" bestFit="1" customWidth="1"/>
    <col min="14608" max="14848" width="11.42578125" style="46"/>
    <col min="14849" max="14849" width="15.28515625" style="46" customWidth="1"/>
    <col min="14850" max="14851" width="11.42578125" style="46"/>
    <col min="14852" max="14852" width="13" style="46" bestFit="1" customWidth="1"/>
    <col min="14853" max="14853" width="13.140625" style="46" customWidth="1"/>
    <col min="14854" max="14854" width="20.7109375" style="46" customWidth="1"/>
    <col min="14855" max="14855" width="13.28515625" style="46" customWidth="1"/>
    <col min="14856" max="14859" width="11.42578125" style="46"/>
    <col min="14860" max="14860" width="12.7109375" style="46" bestFit="1" customWidth="1"/>
    <col min="14861" max="14861" width="13" style="46" bestFit="1" customWidth="1"/>
    <col min="14862" max="14862" width="11.42578125" style="46"/>
    <col min="14863" max="14863" width="12" style="46" bestFit="1" customWidth="1"/>
    <col min="14864" max="15104" width="11.42578125" style="46"/>
    <col min="15105" max="15105" width="15.28515625" style="46" customWidth="1"/>
    <col min="15106" max="15107" width="11.42578125" style="46"/>
    <col min="15108" max="15108" width="13" style="46" bestFit="1" customWidth="1"/>
    <col min="15109" max="15109" width="13.140625" style="46" customWidth="1"/>
    <col min="15110" max="15110" width="20.7109375" style="46" customWidth="1"/>
    <col min="15111" max="15111" width="13.28515625" style="46" customWidth="1"/>
    <col min="15112" max="15115" width="11.42578125" style="46"/>
    <col min="15116" max="15116" width="12.7109375" style="46" bestFit="1" customWidth="1"/>
    <col min="15117" max="15117" width="13" style="46" bestFit="1" customWidth="1"/>
    <col min="15118" max="15118" width="11.42578125" style="46"/>
    <col min="15119" max="15119" width="12" style="46" bestFit="1" customWidth="1"/>
    <col min="15120" max="15360" width="11.42578125" style="46"/>
    <col min="15361" max="15361" width="15.28515625" style="46" customWidth="1"/>
    <col min="15362" max="15363" width="11.42578125" style="46"/>
    <col min="15364" max="15364" width="13" style="46" bestFit="1" customWidth="1"/>
    <col min="15365" max="15365" width="13.140625" style="46" customWidth="1"/>
    <col min="15366" max="15366" width="20.7109375" style="46" customWidth="1"/>
    <col min="15367" max="15367" width="13.28515625" style="46" customWidth="1"/>
    <col min="15368" max="15371" width="11.42578125" style="46"/>
    <col min="15372" max="15372" width="12.7109375" style="46" bestFit="1" customWidth="1"/>
    <col min="15373" max="15373" width="13" style="46" bestFit="1" customWidth="1"/>
    <col min="15374" max="15374" width="11.42578125" style="46"/>
    <col min="15375" max="15375" width="12" style="46" bestFit="1" customWidth="1"/>
    <col min="15376" max="15616" width="11.42578125" style="46"/>
    <col min="15617" max="15617" width="15.28515625" style="46" customWidth="1"/>
    <col min="15618" max="15619" width="11.42578125" style="46"/>
    <col min="15620" max="15620" width="13" style="46" bestFit="1" customWidth="1"/>
    <col min="15621" max="15621" width="13.140625" style="46" customWidth="1"/>
    <col min="15622" max="15622" width="20.7109375" style="46" customWidth="1"/>
    <col min="15623" max="15623" width="13.28515625" style="46" customWidth="1"/>
    <col min="15624" max="15627" width="11.42578125" style="46"/>
    <col min="15628" max="15628" width="12.7109375" style="46" bestFit="1" customWidth="1"/>
    <col min="15629" max="15629" width="13" style="46" bestFit="1" customWidth="1"/>
    <col min="15630" max="15630" width="11.42578125" style="46"/>
    <col min="15631" max="15631" width="12" style="46" bestFit="1" customWidth="1"/>
    <col min="15632" max="15872" width="11.42578125" style="46"/>
    <col min="15873" max="15873" width="15.28515625" style="46" customWidth="1"/>
    <col min="15874" max="15875" width="11.42578125" style="46"/>
    <col min="15876" max="15876" width="13" style="46" bestFit="1" customWidth="1"/>
    <col min="15877" max="15877" width="13.140625" style="46" customWidth="1"/>
    <col min="15878" max="15878" width="20.7109375" style="46" customWidth="1"/>
    <col min="15879" max="15879" width="13.28515625" style="46" customWidth="1"/>
    <col min="15880" max="15883" width="11.42578125" style="46"/>
    <col min="15884" max="15884" width="12.7109375" style="46" bestFit="1" customWidth="1"/>
    <col min="15885" max="15885" width="13" style="46" bestFit="1" customWidth="1"/>
    <col min="15886" max="15886" width="11.42578125" style="46"/>
    <col min="15887" max="15887" width="12" style="46" bestFit="1" customWidth="1"/>
    <col min="15888" max="16128" width="11.42578125" style="46"/>
    <col min="16129" max="16129" width="15.28515625" style="46" customWidth="1"/>
    <col min="16130" max="16131" width="11.42578125" style="46"/>
    <col min="16132" max="16132" width="13" style="46" bestFit="1" customWidth="1"/>
    <col min="16133" max="16133" width="13.140625" style="46" customWidth="1"/>
    <col min="16134" max="16134" width="20.7109375" style="46" customWidth="1"/>
    <col min="16135" max="16135" width="13.28515625" style="46" customWidth="1"/>
    <col min="16136" max="16139" width="11.42578125" style="46"/>
    <col min="16140" max="16140" width="12.7109375" style="46" bestFit="1" customWidth="1"/>
    <col min="16141" max="16141" width="13" style="46" bestFit="1" customWidth="1"/>
    <col min="16142" max="16142" width="11.42578125" style="46"/>
    <col min="16143" max="16143" width="12" style="46" bestFit="1" customWidth="1"/>
    <col min="16144" max="16384" width="11.42578125" style="46"/>
  </cols>
  <sheetData>
    <row r="1" spans="1:15" ht="15" x14ac:dyDescent="0.25">
      <c r="L1" s="47"/>
      <c r="M1" s="47" t="s">
        <v>107</v>
      </c>
      <c r="N1" s="47" t="s">
        <v>108</v>
      </c>
      <c r="O1" s="47" t="s">
        <v>109</v>
      </c>
    </row>
    <row r="2" spans="1:15" ht="15" x14ac:dyDescent="0.25">
      <c r="A2" s="1292" t="s">
        <v>110</v>
      </c>
      <c r="B2" s="1292"/>
      <c r="C2" s="1292"/>
      <c r="D2" s="1292"/>
      <c r="E2" s="1292"/>
      <c r="F2" s="1292"/>
      <c r="G2" s="1292"/>
      <c r="L2" s="47" t="s">
        <v>111</v>
      </c>
      <c r="M2" s="48">
        <f>689454/30</f>
        <v>22981.8</v>
      </c>
      <c r="N2" s="47">
        <v>1.76</v>
      </c>
      <c r="O2" s="49">
        <f>+M2*N2</f>
        <v>40447.968000000001</v>
      </c>
    </row>
    <row r="3" spans="1:15" ht="27.75" customHeight="1" x14ac:dyDescent="0.25">
      <c r="A3" s="1293" t="s">
        <v>521</v>
      </c>
      <c r="B3" s="1293"/>
      <c r="C3" s="1293"/>
      <c r="D3" s="1293"/>
      <c r="E3" s="1293"/>
      <c r="F3" s="1293"/>
      <c r="G3" s="1293"/>
      <c r="L3" s="47" t="s">
        <v>112</v>
      </c>
      <c r="M3" s="48">
        <v>40000</v>
      </c>
      <c r="N3" s="47">
        <v>1.76</v>
      </c>
      <c r="O3" s="49">
        <f>+M3*N3</f>
        <v>70400</v>
      </c>
    </row>
    <row r="4" spans="1:15" ht="15" x14ac:dyDescent="0.25">
      <c r="A4" s="31"/>
      <c r="B4" s="31"/>
      <c r="C4" s="31"/>
      <c r="D4" s="31"/>
      <c r="E4" s="31"/>
      <c r="F4" s="31"/>
      <c r="G4" s="31"/>
    </row>
    <row r="5" spans="1:15" ht="15" x14ac:dyDescent="0.25">
      <c r="A5" s="1294" t="s">
        <v>113</v>
      </c>
      <c r="B5" s="1295"/>
      <c r="C5" s="1295"/>
      <c r="D5" s="1295"/>
      <c r="E5" s="1295"/>
      <c r="F5" s="1295"/>
      <c r="G5" s="1296"/>
    </row>
    <row r="7" spans="1:15" ht="15" x14ac:dyDescent="0.25">
      <c r="A7" s="50" t="s">
        <v>114</v>
      </c>
      <c r="B7" s="1085" t="s">
        <v>1</v>
      </c>
      <c r="C7" s="1085"/>
      <c r="D7" s="1085"/>
      <c r="E7" s="1085"/>
      <c r="F7" s="1085"/>
      <c r="G7" s="51" t="s">
        <v>2</v>
      </c>
    </row>
    <row r="8" spans="1:15" ht="15" customHeight="1" x14ac:dyDescent="0.25">
      <c r="A8" s="1056">
        <f>'FORMATO PROPUESTA ECONÓMICA'!A8</f>
        <v>1.1000000000000001</v>
      </c>
      <c r="B8" s="1297" t="str">
        <f>'FORMATO PROPUESTA ECONÓMICA'!B8</f>
        <v>Demolición Andenes sin escalas, en cualquier material (simples o reforzado), espesor entre 7 y 10 cm</v>
      </c>
      <c r="C8" s="1298"/>
      <c r="D8" s="1298"/>
      <c r="E8" s="1298"/>
      <c r="F8" s="1299"/>
      <c r="G8" s="561" t="str">
        <f>'FORMATO PROPUESTA ECONÓMICA'!C8</f>
        <v>m2</v>
      </c>
    </row>
    <row r="9" spans="1:15" ht="15" x14ac:dyDescent="0.25">
      <c r="A9" s="53" t="s">
        <v>115</v>
      </c>
      <c r="B9" s="54"/>
      <c r="C9" s="55"/>
      <c r="D9" s="54"/>
      <c r="E9" s="56"/>
      <c r="F9" s="54"/>
      <c r="G9" s="57"/>
    </row>
    <row r="10" spans="1:15" ht="15" x14ac:dyDescent="0.25">
      <c r="A10" s="58"/>
      <c r="B10" s="54"/>
      <c r="C10" s="55"/>
      <c r="D10" s="54"/>
      <c r="E10" s="56"/>
      <c r="F10" s="54"/>
      <c r="G10" s="57"/>
    </row>
    <row r="11" spans="1:15" ht="15" x14ac:dyDescent="0.25">
      <c r="A11" s="1083" t="s">
        <v>116</v>
      </c>
      <c r="B11" s="1084"/>
      <c r="C11" s="59" t="s">
        <v>117</v>
      </c>
      <c r="D11" s="1085" t="s">
        <v>118</v>
      </c>
      <c r="E11" s="60" t="s">
        <v>39</v>
      </c>
      <c r="F11" s="1085" t="s">
        <v>119</v>
      </c>
      <c r="G11" s="61" t="s">
        <v>120</v>
      </c>
    </row>
    <row r="12" spans="1:15" ht="15" x14ac:dyDescent="0.25">
      <c r="A12" s="1064"/>
      <c r="B12" s="1065"/>
      <c r="C12" s="62"/>
      <c r="D12" s="63"/>
      <c r="E12" s="64"/>
      <c r="F12" s="65"/>
      <c r="G12" s="66">
        <f>E12*D12</f>
        <v>0</v>
      </c>
    </row>
    <row r="13" spans="1:15" ht="15" x14ac:dyDescent="0.25">
      <c r="A13" s="1060"/>
      <c r="B13" s="1068"/>
      <c r="C13" s="67"/>
      <c r="D13" s="68"/>
      <c r="E13" s="69"/>
      <c r="F13" s="70"/>
      <c r="G13" s="71">
        <f>E13*D13</f>
        <v>0</v>
      </c>
    </row>
    <row r="14" spans="1:15" ht="15" x14ac:dyDescent="0.25">
      <c r="A14" s="1069"/>
      <c r="B14" s="1070"/>
      <c r="C14" s="72"/>
      <c r="D14" s="73"/>
      <c r="E14" s="74"/>
      <c r="F14" s="75"/>
      <c r="G14" s="76"/>
    </row>
    <row r="15" spans="1:15" ht="15" x14ac:dyDescent="0.25">
      <c r="A15" s="1061"/>
      <c r="B15" s="77"/>
      <c r="C15" s="55"/>
      <c r="D15" s="54"/>
      <c r="E15" s="78"/>
      <c r="F15" s="79" t="s">
        <v>121</v>
      </c>
      <c r="G15" s="80">
        <f>+SUM(G12:G14)</f>
        <v>0</v>
      </c>
    </row>
    <row r="16" spans="1:15" ht="15" x14ac:dyDescent="0.25">
      <c r="A16" s="53" t="s">
        <v>122</v>
      </c>
      <c r="B16" s="54"/>
      <c r="C16" s="55" t="s">
        <v>123</v>
      </c>
      <c r="D16" s="54"/>
      <c r="E16" s="56"/>
      <c r="F16" s="54"/>
      <c r="G16" s="57"/>
    </row>
    <row r="17" spans="1:7" ht="15" x14ac:dyDescent="0.25">
      <c r="A17" s="58"/>
      <c r="B17" s="54"/>
      <c r="C17" s="55"/>
      <c r="D17" s="54"/>
      <c r="E17" s="56"/>
      <c r="F17" s="54"/>
      <c r="G17" s="57"/>
    </row>
    <row r="18" spans="1:7" ht="15" x14ac:dyDescent="0.25">
      <c r="A18" s="1080" t="s">
        <v>116</v>
      </c>
      <c r="B18" s="1081"/>
      <c r="C18" s="81" t="s">
        <v>117</v>
      </c>
      <c r="D18" s="82" t="s">
        <v>124</v>
      </c>
      <c r="E18" s="82" t="s">
        <v>125</v>
      </c>
      <c r="F18" s="1110" t="s">
        <v>126</v>
      </c>
      <c r="G18" s="84" t="s">
        <v>120</v>
      </c>
    </row>
    <row r="19" spans="1:7" ht="15" customHeight="1" x14ac:dyDescent="0.25">
      <c r="A19" s="1287" t="s">
        <v>127</v>
      </c>
      <c r="B19" s="1288"/>
      <c r="C19" s="85" t="s">
        <v>128</v>
      </c>
      <c r="D19" s="86"/>
      <c r="E19" s="87"/>
      <c r="F19" s="88"/>
      <c r="G19" s="89">
        <f>G31*0.05</f>
        <v>182.01585600000001</v>
      </c>
    </row>
    <row r="20" spans="1:7" ht="15" customHeight="1" x14ac:dyDescent="0.25">
      <c r="A20" s="1289" t="s">
        <v>14</v>
      </c>
      <c r="B20" s="1290"/>
      <c r="C20" s="90" t="s">
        <v>11</v>
      </c>
      <c r="D20" s="91">
        <v>60000</v>
      </c>
      <c r="E20" s="92"/>
      <c r="F20" s="1109">
        <v>9.5</v>
      </c>
      <c r="G20" s="89">
        <f>D20/F20</f>
        <v>6315.7894736842109</v>
      </c>
    </row>
    <row r="21" spans="1:7" ht="15" x14ac:dyDescent="0.25">
      <c r="A21" s="1282" t="s">
        <v>129</v>
      </c>
      <c r="B21" s="1283"/>
      <c r="C21" s="90" t="s">
        <v>11</v>
      </c>
      <c r="D21" s="94">
        <v>50000</v>
      </c>
      <c r="E21" s="95"/>
      <c r="F21" s="1108">
        <v>0.09</v>
      </c>
      <c r="G21" s="89">
        <f>F21*D21</f>
        <v>4500</v>
      </c>
    </row>
    <row r="22" spans="1:7" ht="15" x14ac:dyDescent="0.25">
      <c r="A22" s="1300" t="s">
        <v>522</v>
      </c>
      <c r="B22" s="1301"/>
      <c r="C22" s="98" t="s">
        <v>176</v>
      </c>
      <c r="D22" s="99">
        <f>10345</f>
        <v>10345</v>
      </c>
      <c r="E22" s="100"/>
      <c r="F22" s="1111">
        <f>3/8</f>
        <v>0.375</v>
      </c>
      <c r="G22" s="89">
        <f>D22*F22</f>
        <v>3879.375</v>
      </c>
    </row>
    <row r="23" spans="1:7" ht="15" x14ac:dyDescent="0.25">
      <c r="A23" s="58"/>
      <c r="B23" s="54"/>
      <c r="C23" s="55"/>
      <c r="D23" s="54"/>
      <c r="E23" s="78"/>
      <c r="F23" s="103" t="s">
        <v>121</v>
      </c>
      <c r="G23" s="104">
        <f>+SUM(G19:G22)</f>
        <v>14877.180329684212</v>
      </c>
    </row>
    <row r="24" spans="1:7" ht="15" x14ac:dyDescent="0.25">
      <c r="A24" s="53" t="s">
        <v>130</v>
      </c>
      <c r="B24" s="54"/>
      <c r="C24" s="55"/>
      <c r="D24" s="54"/>
      <c r="E24" s="56"/>
      <c r="F24" s="54"/>
      <c r="G24" s="57"/>
    </row>
    <row r="25" spans="1:7" ht="15" x14ac:dyDescent="0.25">
      <c r="A25" s="58"/>
      <c r="B25" s="54"/>
      <c r="C25" s="55"/>
      <c r="D25" s="54"/>
      <c r="E25" s="56"/>
      <c r="F25" s="54"/>
      <c r="G25" s="57"/>
    </row>
    <row r="26" spans="1:7" ht="15" x14ac:dyDescent="0.25">
      <c r="A26" s="1080" t="s">
        <v>116</v>
      </c>
      <c r="B26" s="1081"/>
      <c r="C26" s="82" t="s">
        <v>131</v>
      </c>
      <c r="D26" s="81" t="s">
        <v>132</v>
      </c>
      <c r="E26" s="82" t="s">
        <v>133</v>
      </c>
      <c r="F26" s="83" t="s">
        <v>126</v>
      </c>
      <c r="G26" s="84" t="s">
        <v>134</v>
      </c>
    </row>
    <row r="27" spans="1:7" ht="15" x14ac:dyDescent="0.25">
      <c r="A27" s="58"/>
      <c r="B27" s="105"/>
      <c r="C27" s="106"/>
      <c r="D27" s="107"/>
      <c r="E27" s="108"/>
      <c r="F27" s="88"/>
      <c r="G27" s="109"/>
    </row>
    <row r="28" spans="1:7" ht="15" x14ac:dyDescent="0.25">
      <c r="A28" s="1061" t="s">
        <v>10</v>
      </c>
      <c r="B28" s="110"/>
      <c r="C28" s="106">
        <f>M2</f>
        <v>22981.8</v>
      </c>
      <c r="D28" s="107">
        <f>N2</f>
        <v>1.76</v>
      </c>
      <c r="E28" s="108">
        <f>C28*D28</f>
        <v>40447.968000000001</v>
      </c>
      <c r="F28" s="144">
        <v>0.09</v>
      </c>
      <c r="G28" s="109">
        <f>E28*F28</f>
        <v>3640.3171200000002</v>
      </c>
    </row>
    <row r="29" spans="1:7" ht="15" x14ac:dyDescent="0.25">
      <c r="A29" s="58"/>
      <c r="B29" s="111"/>
      <c r="C29" s="112"/>
      <c r="D29" s="113"/>
      <c r="E29" s="112"/>
      <c r="F29" s="114"/>
      <c r="G29" s="115"/>
    </row>
    <row r="30" spans="1:7" ht="15" x14ac:dyDescent="0.25">
      <c r="A30" s="96"/>
      <c r="B30" s="97"/>
      <c r="C30" s="99"/>
      <c r="D30" s="98"/>
      <c r="E30" s="99"/>
      <c r="F30" s="101"/>
      <c r="G30" s="116"/>
    </row>
    <row r="31" spans="1:7" ht="15" x14ac:dyDescent="0.25">
      <c r="A31" s="58"/>
      <c r="B31" s="54"/>
      <c r="C31" s="55"/>
      <c r="D31" s="78"/>
      <c r="E31" s="117"/>
      <c r="F31" s="117" t="s">
        <v>121</v>
      </c>
      <c r="G31" s="118">
        <f>+SUM(G27:G30)</f>
        <v>3640.3171200000002</v>
      </c>
    </row>
    <row r="32" spans="1:7" ht="15" x14ac:dyDescent="0.25">
      <c r="A32" s="53" t="s">
        <v>135</v>
      </c>
      <c r="B32" s="54"/>
      <c r="C32" s="55"/>
      <c r="D32" s="54"/>
      <c r="E32" s="56"/>
      <c r="F32" s="54"/>
      <c r="G32" s="57"/>
    </row>
    <row r="33" spans="1:9" ht="15" x14ac:dyDescent="0.25">
      <c r="A33" s="58"/>
      <c r="B33" s="54"/>
      <c r="C33" s="55"/>
      <c r="D33" s="54"/>
      <c r="E33" s="56"/>
      <c r="F33" s="54"/>
      <c r="G33" s="57"/>
    </row>
    <row r="34" spans="1:9" ht="15" x14ac:dyDescent="0.25">
      <c r="A34" s="1080" t="s">
        <v>116</v>
      </c>
      <c r="B34" s="1081"/>
      <c r="C34" s="82" t="s">
        <v>117</v>
      </c>
      <c r="D34" s="81" t="s">
        <v>136</v>
      </c>
      <c r="E34" s="82" t="s">
        <v>124</v>
      </c>
      <c r="F34" s="83" t="s">
        <v>126</v>
      </c>
      <c r="G34" s="84" t="s">
        <v>134</v>
      </c>
    </row>
    <row r="35" spans="1:9" ht="15" x14ac:dyDescent="0.25">
      <c r="A35" s="58"/>
      <c r="B35" s="105"/>
      <c r="C35" s="106"/>
      <c r="D35" s="107"/>
      <c r="E35" s="108"/>
      <c r="F35" s="88"/>
      <c r="G35" s="109"/>
    </row>
    <row r="36" spans="1:9" ht="15" x14ac:dyDescent="0.25">
      <c r="A36" s="58"/>
      <c r="B36" s="111"/>
      <c r="C36" s="112"/>
      <c r="D36" s="113"/>
      <c r="E36" s="112"/>
      <c r="F36" s="114"/>
      <c r="G36" s="115"/>
    </row>
    <row r="37" spans="1:9" ht="15" x14ac:dyDescent="0.25">
      <c r="A37" s="96"/>
      <c r="B37" s="97"/>
      <c r="C37" s="99"/>
      <c r="D37" s="98"/>
      <c r="E37" s="99"/>
      <c r="F37" s="101"/>
      <c r="G37" s="116"/>
    </row>
    <row r="38" spans="1:9" ht="15" x14ac:dyDescent="0.25">
      <c r="A38" s="58"/>
      <c r="B38" s="54"/>
      <c r="C38" s="55"/>
      <c r="D38" s="78"/>
      <c r="E38" s="117"/>
      <c r="F38" s="117" t="s">
        <v>121</v>
      </c>
      <c r="G38" s="118">
        <f>+SUM(G35:G37)</f>
        <v>0</v>
      </c>
    </row>
    <row r="39" spans="1:9" ht="15" x14ac:dyDescent="0.25">
      <c r="A39" s="58"/>
      <c r="B39" s="54"/>
      <c r="C39" s="55"/>
      <c r="D39" s="54"/>
      <c r="E39" s="56"/>
      <c r="F39" s="54"/>
      <c r="G39" s="119"/>
    </row>
    <row r="40" spans="1:9" ht="15" x14ac:dyDescent="0.25">
      <c r="A40" s="120"/>
      <c r="B40" s="121"/>
      <c r="C40" s="122"/>
      <c r="D40" s="122"/>
      <c r="E40" s="123"/>
      <c r="F40" s="124" t="s">
        <v>137</v>
      </c>
      <c r="G40" s="125">
        <f>+ROUND(G15+G23+G31,0)</f>
        <v>18517</v>
      </c>
      <c r="H40" s="46">
        <v>16747</v>
      </c>
      <c r="I40" s="281">
        <f>G40-H40</f>
        <v>1770</v>
      </c>
    </row>
    <row r="42" spans="1:9" ht="15" x14ac:dyDescent="0.25">
      <c r="A42" s="50" t="s">
        <v>114</v>
      </c>
      <c r="B42" s="1085" t="s">
        <v>1</v>
      </c>
      <c r="C42" s="1085"/>
      <c r="D42" s="1085"/>
      <c r="E42" s="1085"/>
      <c r="F42" s="1085"/>
      <c r="G42" s="51" t="s">
        <v>2</v>
      </c>
    </row>
    <row r="43" spans="1:9" ht="15" customHeight="1" x14ac:dyDescent="0.25">
      <c r="A43" s="1054">
        <f>'FORMATO PROPUESTA ECONÓMICA'!A9</f>
        <v>1.2</v>
      </c>
      <c r="B43" s="1284" t="str">
        <f>'FORMATO PROPUESTA ECONÓMICA'!B9</f>
        <v>Demolición piso baldosa o grano</v>
      </c>
      <c r="C43" s="1285"/>
      <c r="D43" s="1285"/>
      <c r="E43" s="1285"/>
      <c r="F43" s="1286"/>
      <c r="G43" s="561" t="str">
        <f>'[1]5. Presup Sector N°4'!D10</f>
        <v>m2</v>
      </c>
    </row>
    <row r="44" spans="1:9" ht="15" x14ac:dyDescent="0.25">
      <c r="A44" s="53" t="s">
        <v>115</v>
      </c>
      <c r="B44" s="54"/>
      <c r="C44" s="55"/>
      <c r="D44" s="54"/>
      <c r="E44" s="56"/>
      <c r="F44" s="54"/>
      <c r="G44" s="57"/>
    </row>
    <row r="45" spans="1:9" ht="15" x14ac:dyDescent="0.25">
      <c r="A45" s="58"/>
      <c r="B45" s="54"/>
      <c r="C45" s="55"/>
      <c r="D45" s="54"/>
      <c r="E45" s="56"/>
      <c r="F45" s="54"/>
      <c r="G45" s="57"/>
    </row>
    <row r="46" spans="1:9" ht="15" x14ac:dyDescent="0.25">
      <c r="A46" s="1083" t="s">
        <v>116</v>
      </c>
      <c r="B46" s="1084"/>
      <c r="C46" s="59" t="s">
        <v>117</v>
      </c>
      <c r="D46" s="1085" t="s">
        <v>118</v>
      </c>
      <c r="E46" s="60" t="s">
        <v>39</v>
      </c>
      <c r="F46" s="1085" t="s">
        <v>119</v>
      </c>
      <c r="G46" s="61" t="s">
        <v>120</v>
      </c>
    </row>
    <row r="47" spans="1:9" ht="15" x14ac:dyDescent="0.25">
      <c r="A47" s="1064"/>
      <c r="B47" s="1065"/>
      <c r="C47" s="62"/>
      <c r="D47" s="63"/>
      <c r="E47" s="64"/>
      <c r="F47" s="65"/>
      <c r="G47" s="66">
        <f>E47*D47</f>
        <v>0</v>
      </c>
    </row>
    <row r="48" spans="1:9" ht="15" x14ac:dyDescent="0.25">
      <c r="A48" s="1060"/>
      <c r="B48" s="1068"/>
      <c r="C48" s="67"/>
      <c r="D48" s="68"/>
      <c r="E48" s="69"/>
      <c r="F48" s="70"/>
      <c r="G48" s="71">
        <f>E48*D48</f>
        <v>0</v>
      </c>
    </row>
    <row r="49" spans="1:9" ht="15" x14ac:dyDescent="0.25">
      <c r="A49" s="1069"/>
      <c r="B49" s="1070"/>
      <c r="C49" s="72"/>
      <c r="D49" s="73"/>
      <c r="E49" s="74"/>
      <c r="F49" s="75"/>
      <c r="G49" s="76"/>
    </row>
    <row r="50" spans="1:9" ht="15" x14ac:dyDescent="0.25">
      <c r="A50" s="1061"/>
      <c r="B50" s="77"/>
      <c r="C50" s="55"/>
      <c r="D50" s="54"/>
      <c r="E50" s="78"/>
      <c r="F50" s="79" t="s">
        <v>121</v>
      </c>
      <c r="G50" s="80">
        <f>+SUM(G47:G49)</f>
        <v>0</v>
      </c>
    </row>
    <row r="51" spans="1:9" ht="15" x14ac:dyDescent="0.25">
      <c r="A51" s="53" t="s">
        <v>122</v>
      </c>
      <c r="B51" s="54"/>
      <c r="C51" s="55" t="s">
        <v>123</v>
      </c>
      <c r="D51" s="54"/>
      <c r="E51" s="56"/>
      <c r="F51" s="54"/>
      <c r="G51" s="57"/>
    </row>
    <row r="52" spans="1:9" ht="15" x14ac:dyDescent="0.25">
      <c r="A52" s="58"/>
      <c r="B52" s="54"/>
      <c r="C52" s="55"/>
      <c r="D52" s="54"/>
      <c r="E52" s="56"/>
      <c r="F52" s="54"/>
      <c r="G52" s="57"/>
    </row>
    <row r="53" spans="1:9" ht="15" x14ac:dyDescent="0.25">
      <c r="A53" s="1080" t="s">
        <v>116</v>
      </c>
      <c r="B53" s="1081"/>
      <c r="C53" s="81" t="s">
        <v>117</v>
      </c>
      <c r="D53" s="82" t="s">
        <v>124</v>
      </c>
      <c r="E53" s="82" t="s">
        <v>125</v>
      </c>
      <c r="F53" s="83" t="s">
        <v>126</v>
      </c>
      <c r="G53" s="84" t="s">
        <v>120</v>
      </c>
    </row>
    <row r="54" spans="1:9" ht="15" customHeight="1" x14ac:dyDescent="0.25">
      <c r="A54" s="1287" t="s">
        <v>127</v>
      </c>
      <c r="B54" s="1288"/>
      <c r="C54" s="85" t="s">
        <v>128</v>
      </c>
      <c r="D54" s="86"/>
      <c r="E54" s="87"/>
      <c r="F54" s="88"/>
      <c r="G54" s="89">
        <f>G66*0.05</f>
        <v>202.23984000000002</v>
      </c>
      <c r="H54" s="46" t="s">
        <v>523</v>
      </c>
    </row>
    <row r="55" spans="1:9" ht="15" customHeight="1" x14ac:dyDescent="0.25">
      <c r="A55" s="1289" t="s">
        <v>525</v>
      </c>
      <c r="B55" s="1290"/>
      <c r="C55" s="90" t="s">
        <v>11</v>
      </c>
      <c r="D55" s="91">
        <v>60000</v>
      </c>
      <c r="E55" s="92"/>
      <c r="F55" s="93">
        <v>10</v>
      </c>
      <c r="G55" s="89">
        <f>D55/F55</f>
        <v>6000</v>
      </c>
      <c r="H55" s="46" t="s">
        <v>524</v>
      </c>
    </row>
    <row r="56" spans="1:9" ht="15" x14ac:dyDescent="0.25">
      <c r="A56" s="1282" t="s">
        <v>129</v>
      </c>
      <c r="B56" s="1283"/>
      <c r="C56" s="90" t="s">
        <v>11</v>
      </c>
      <c r="D56" s="94">
        <f>26210</f>
        <v>26210</v>
      </c>
      <c r="E56" s="95"/>
      <c r="F56" s="93">
        <v>10</v>
      </c>
      <c r="G56" s="89">
        <f>D56/F56</f>
        <v>2621</v>
      </c>
    </row>
    <row r="57" spans="1:9" ht="15" x14ac:dyDescent="0.25">
      <c r="A57" s="1300" t="s">
        <v>522</v>
      </c>
      <c r="B57" s="1301"/>
      <c r="C57" s="98" t="s">
        <v>176</v>
      </c>
      <c r="D57" s="99">
        <v>10345</v>
      </c>
      <c r="E57" s="100"/>
      <c r="F57" s="1114">
        <f>3/8</f>
        <v>0.375</v>
      </c>
      <c r="G57" s="89">
        <f>D57*F57</f>
        <v>3879.375</v>
      </c>
    </row>
    <row r="58" spans="1:9" ht="15" x14ac:dyDescent="0.25">
      <c r="A58" s="58"/>
      <c r="B58" s="54"/>
      <c r="C58" s="55"/>
      <c r="D58" s="54"/>
      <c r="E58" s="78"/>
      <c r="F58" s="103" t="s">
        <v>121</v>
      </c>
      <c r="G58" s="104">
        <f>+SUM(G54:G57)</f>
        <v>12702.61484</v>
      </c>
    </row>
    <row r="59" spans="1:9" ht="15" x14ac:dyDescent="0.25">
      <c r="A59" s="53" t="s">
        <v>130</v>
      </c>
      <c r="B59" s="54"/>
      <c r="C59" s="55"/>
      <c r="D59" s="54"/>
      <c r="E59" s="56"/>
      <c r="F59" s="54"/>
      <c r="G59" s="57"/>
    </row>
    <row r="60" spans="1:9" ht="15" x14ac:dyDescent="0.25">
      <c r="A60" s="58"/>
      <c r="B60" s="54"/>
      <c r="C60" s="55"/>
      <c r="D60" s="54"/>
      <c r="E60" s="56"/>
      <c r="F60" s="54"/>
      <c r="G60" s="57"/>
    </row>
    <row r="61" spans="1:9" ht="15" x14ac:dyDescent="0.25">
      <c r="A61" s="1080" t="s">
        <v>116</v>
      </c>
      <c r="B61" s="1081"/>
      <c r="C61" s="82" t="s">
        <v>131</v>
      </c>
      <c r="D61" s="81" t="s">
        <v>132</v>
      </c>
      <c r="E61" s="82" t="s">
        <v>133</v>
      </c>
      <c r="F61" s="83" t="s">
        <v>126</v>
      </c>
      <c r="G61" s="84" t="s">
        <v>134</v>
      </c>
    </row>
    <row r="62" spans="1:9" ht="15" x14ac:dyDescent="0.25">
      <c r="A62" s="58"/>
      <c r="B62" s="105"/>
      <c r="C62" s="106"/>
      <c r="D62" s="107"/>
      <c r="E62" s="108"/>
      <c r="F62" s="88"/>
      <c r="G62" s="109"/>
      <c r="I62" s="126"/>
    </row>
    <row r="63" spans="1:9" ht="15" x14ac:dyDescent="0.25">
      <c r="A63" s="1061" t="s">
        <v>10</v>
      </c>
      <c r="B63" s="110"/>
      <c r="C63" s="106">
        <f>M2</f>
        <v>22981.8</v>
      </c>
      <c r="D63" s="107">
        <f>N2</f>
        <v>1.76</v>
      </c>
      <c r="E63" s="108">
        <f>C63*D63</f>
        <v>40447.968000000001</v>
      </c>
      <c r="F63" s="88">
        <v>10</v>
      </c>
      <c r="G63" s="109">
        <f>E63/F63</f>
        <v>4044.7968000000001</v>
      </c>
    </row>
    <row r="64" spans="1:9" ht="15" x14ac:dyDescent="0.25">
      <c r="A64" s="58"/>
      <c r="B64" s="111"/>
      <c r="C64" s="112"/>
      <c r="D64" s="113"/>
      <c r="E64" s="112"/>
      <c r="F64" s="114"/>
      <c r="G64" s="115"/>
    </row>
    <row r="65" spans="1:9" ht="15" x14ac:dyDescent="0.25">
      <c r="A65" s="96"/>
      <c r="B65" s="97"/>
      <c r="C65" s="99"/>
      <c r="D65" s="98"/>
      <c r="E65" s="99"/>
      <c r="F65" s="101"/>
      <c r="G65" s="116"/>
    </row>
    <row r="66" spans="1:9" ht="15" x14ac:dyDescent="0.25">
      <c r="A66" s="58"/>
      <c r="B66" s="54"/>
      <c r="C66" s="55"/>
      <c r="D66" s="78"/>
      <c r="E66" s="117"/>
      <c r="F66" s="117" t="s">
        <v>121</v>
      </c>
      <c r="G66" s="118">
        <f>+SUM(G62:G65)</f>
        <v>4044.7968000000001</v>
      </c>
    </row>
    <row r="67" spans="1:9" ht="15" x14ac:dyDescent="0.25">
      <c r="A67" s="53" t="s">
        <v>135</v>
      </c>
      <c r="B67" s="54"/>
      <c r="C67" s="55"/>
      <c r="D67" s="54"/>
      <c r="E67" s="56"/>
      <c r="F67" s="54"/>
      <c r="G67" s="57"/>
    </row>
    <row r="68" spans="1:9" ht="15" x14ac:dyDescent="0.25">
      <c r="A68" s="58"/>
      <c r="B68" s="54"/>
      <c r="C68" s="55"/>
      <c r="D68" s="54"/>
      <c r="E68" s="56"/>
      <c r="F68" s="54"/>
      <c r="G68" s="57"/>
    </row>
    <row r="69" spans="1:9" ht="15" x14ac:dyDescent="0.25">
      <c r="A69" s="1080" t="s">
        <v>116</v>
      </c>
      <c r="B69" s="1081"/>
      <c r="C69" s="82" t="s">
        <v>117</v>
      </c>
      <c r="D69" s="81" t="s">
        <v>136</v>
      </c>
      <c r="E69" s="82" t="s">
        <v>124</v>
      </c>
      <c r="F69" s="83" t="s">
        <v>126</v>
      </c>
      <c r="G69" s="84" t="s">
        <v>134</v>
      </c>
    </row>
    <row r="70" spans="1:9" ht="15" x14ac:dyDescent="0.25">
      <c r="A70" s="58"/>
      <c r="B70" s="105"/>
      <c r="C70" s="106"/>
      <c r="D70" s="107"/>
      <c r="E70" s="108"/>
      <c r="F70" s="88"/>
      <c r="G70" s="109"/>
    </row>
    <row r="71" spans="1:9" ht="15" x14ac:dyDescent="0.25">
      <c r="A71" s="58"/>
      <c r="B71" s="111"/>
      <c r="C71" s="112"/>
      <c r="D71" s="113"/>
      <c r="E71" s="112"/>
      <c r="F71" s="114"/>
      <c r="G71" s="115"/>
    </row>
    <row r="72" spans="1:9" ht="15" x14ac:dyDescent="0.25">
      <c r="A72" s="96"/>
      <c r="B72" s="97"/>
      <c r="C72" s="99"/>
      <c r="D72" s="98"/>
      <c r="E72" s="99"/>
      <c r="F72" s="101"/>
      <c r="G72" s="116"/>
    </row>
    <row r="73" spans="1:9" ht="15" x14ac:dyDescent="0.25">
      <c r="A73" s="58"/>
      <c r="B73" s="54"/>
      <c r="C73" s="55"/>
      <c r="D73" s="78"/>
      <c r="E73" s="117"/>
      <c r="F73" s="117" t="s">
        <v>121</v>
      </c>
      <c r="G73" s="118">
        <f>+SUM(G70:G72)</f>
        <v>0</v>
      </c>
    </row>
    <row r="74" spans="1:9" ht="15" x14ac:dyDescent="0.25">
      <c r="A74" s="58"/>
      <c r="B74" s="54"/>
      <c r="C74" s="55"/>
      <c r="D74" s="54"/>
      <c r="E74" s="56"/>
      <c r="F74" s="54"/>
      <c r="G74" s="119"/>
    </row>
    <row r="75" spans="1:9" ht="15" x14ac:dyDescent="0.25">
      <c r="A75" s="120"/>
      <c r="B75" s="121"/>
      <c r="C75" s="122"/>
      <c r="D75" s="122"/>
      <c r="E75" s="123"/>
      <c r="F75" s="124" t="s">
        <v>137</v>
      </c>
      <c r="G75" s="125">
        <f>+ROUND(G50+G58+G66+G73,0)</f>
        <v>16747</v>
      </c>
      <c r="H75" s="46">
        <v>16747</v>
      </c>
      <c r="I75" s="281">
        <f>G75-H75</f>
        <v>0</v>
      </c>
    </row>
    <row r="77" spans="1:9" ht="15" x14ac:dyDescent="0.25">
      <c r="A77" s="50" t="s">
        <v>114</v>
      </c>
      <c r="B77" s="1291" t="s">
        <v>1</v>
      </c>
      <c r="C77" s="1291"/>
      <c r="D77" s="1291"/>
      <c r="E77" s="1291"/>
      <c r="F77" s="1291"/>
      <c r="G77" s="51" t="s">
        <v>2</v>
      </c>
    </row>
    <row r="78" spans="1:9" ht="15" customHeight="1" x14ac:dyDescent="0.25">
      <c r="A78" s="1082">
        <f>'FORMATO PROPUESTA ECONÓMICA'!A10</f>
        <v>1.3</v>
      </c>
      <c r="B78" s="1284" t="str">
        <f>'FORMATO PROPUESTA ECONÓMICA'!B10</f>
        <v xml:space="preserve">Demolición de cordones </v>
      </c>
      <c r="C78" s="1285"/>
      <c r="D78" s="1285"/>
      <c r="E78" s="1285"/>
      <c r="F78" s="1286"/>
      <c r="G78" s="561" t="str">
        <f>'FORMATO PROPUESTA ECONÓMICA'!C10</f>
        <v>m</v>
      </c>
    </row>
    <row r="79" spans="1:9" ht="15" x14ac:dyDescent="0.25">
      <c r="A79" s="53" t="s">
        <v>115</v>
      </c>
      <c r="B79" s="54"/>
      <c r="C79" s="55"/>
      <c r="D79" s="54"/>
      <c r="E79" s="56"/>
      <c r="F79" s="54"/>
      <c r="G79" s="57"/>
    </row>
    <row r="80" spans="1:9" ht="15" x14ac:dyDescent="0.25">
      <c r="A80" s="58"/>
      <c r="B80" s="54"/>
      <c r="C80" s="55"/>
      <c r="D80" s="54"/>
      <c r="E80" s="56"/>
      <c r="F80" s="54"/>
      <c r="G80" s="57"/>
    </row>
    <row r="81" spans="1:9" ht="15" x14ac:dyDescent="0.25">
      <c r="A81" s="1304" t="s">
        <v>116</v>
      </c>
      <c r="B81" s="1305"/>
      <c r="C81" s="59" t="s">
        <v>117</v>
      </c>
      <c r="D81" s="1085" t="s">
        <v>118</v>
      </c>
      <c r="E81" s="60" t="s">
        <v>39</v>
      </c>
      <c r="F81" s="1085" t="s">
        <v>126</v>
      </c>
      <c r="G81" s="61" t="s">
        <v>120</v>
      </c>
    </row>
    <row r="82" spans="1:9" ht="15" customHeight="1" x14ac:dyDescent="0.25">
      <c r="A82" s="1306" t="s">
        <v>138</v>
      </c>
      <c r="B82" s="1307"/>
      <c r="C82" s="62" t="s">
        <v>11</v>
      </c>
      <c r="D82" s="63">
        <v>65000</v>
      </c>
      <c r="E82" s="64">
        <v>1</v>
      </c>
      <c r="F82" s="127">
        <v>20</v>
      </c>
      <c r="G82" s="66">
        <f>D82*E82/F82</f>
        <v>3250</v>
      </c>
    </row>
    <row r="83" spans="1:9" ht="15" x14ac:dyDescent="0.25">
      <c r="A83" s="1308" t="s">
        <v>139</v>
      </c>
      <c r="B83" s="1309"/>
      <c r="C83" s="67" t="s">
        <v>11</v>
      </c>
      <c r="D83" s="68">
        <v>60000</v>
      </c>
      <c r="E83" s="69">
        <v>1</v>
      </c>
      <c r="F83" s="128">
        <v>20</v>
      </c>
      <c r="G83" s="66">
        <f>D83*E83/F83</f>
        <v>3000</v>
      </c>
    </row>
    <row r="84" spans="1:9" ht="15" x14ac:dyDescent="0.25">
      <c r="A84" s="1308"/>
      <c r="B84" s="1309"/>
      <c r="C84" s="67"/>
      <c r="D84" s="68"/>
      <c r="E84" s="69"/>
      <c r="F84" s="129"/>
      <c r="G84" s="71">
        <f>E84*D84</f>
        <v>0</v>
      </c>
    </row>
    <row r="85" spans="1:9" ht="15" x14ac:dyDescent="0.25">
      <c r="A85" s="1310"/>
      <c r="B85" s="1311"/>
      <c r="C85" s="72"/>
      <c r="D85" s="73"/>
      <c r="E85" s="74"/>
      <c r="F85" s="75"/>
      <c r="G85" s="76"/>
    </row>
    <row r="86" spans="1:9" ht="15" x14ac:dyDescent="0.25">
      <c r="A86" s="1061"/>
      <c r="B86" s="77"/>
      <c r="C86" s="55"/>
      <c r="D86" s="54"/>
      <c r="E86" s="130"/>
      <c r="F86" s="79" t="s">
        <v>121</v>
      </c>
      <c r="G86" s="80">
        <f>+SUM(G82:G85)</f>
        <v>6250</v>
      </c>
    </row>
    <row r="87" spans="1:9" ht="15" x14ac:dyDescent="0.25">
      <c r="A87" s="53" t="s">
        <v>122</v>
      </c>
      <c r="B87" s="54"/>
      <c r="C87" s="55" t="s">
        <v>123</v>
      </c>
      <c r="D87" s="54"/>
      <c r="E87" s="56"/>
      <c r="F87" s="54"/>
      <c r="G87" s="57"/>
    </row>
    <row r="88" spans="1:9" ht="15" x14ac:dyDescent="0.25">
      <c r="A88" s="58"/>
      <c r="B88" s="54"/>
      <c r="C88" s="55"/>
      <c r="D88" s="54"/>
      <c r="E88" s="56"/>
      <c r="F88" s="54"/>
      <c r="G88" s="57"/>
    </row>
    <row r="89" spans="1:9" ht="15" x14ac:dyDescent="0.25">
      <c r="A89" s="1302" t="s">
        <v>116</v>
      </c>
      <c r="B89" s="1303"/>
      <c r="C89" s="81" t="s">
        <v>117</v>
      </c>
      <c r="D89" s="82" t="s">
        <v>124</v>
      </c>
      <c r="E89" s="82" t="s">
        <v>125</v>
      </c>
      <c r="F89" s="83" t="s">
        <v>126</v>
      </c>
      <c r="G89" s="84" t="s">
        <v>120</v>
      </c>
    </row>
    <row r="90" spans="1:9" ht="15" customHeight="1" x14ac:dyDescent="0.25">
      <c r="A90" s="1287" t="s">
        <v>127</v>
      </c>
      <c r="B90" s="1288"/>
      <c r="C90" s="85" t="s">
        <v>128</v>
      </c>
      <c r="D90" s="86"/>
      <c r="E90" s="87"/>
      <c r="F90" s="88"/>
      <c r="G90" s="89">
        <f>G100*0.05</f>
        <v>202.23984000000002</v>
      </c>
    </row>
    <row r="91" spans="1:9" ht="15" x14ac:dyDescent="0.25">
      <c r="A91" s="58"/>
      <c r="B91" s="111"/>
      <c r="C91" s="113"/>
      <c r="D91" s="131"/>
      <c r="E91" s="132"/>
      <c r="F91" s="88"/>
      <c r="G91" s="133"/>
    </row>
    <row r="92" spans="1:9" ht="15" x14ac:dyDescent="0.25">
      <c r="A92" s="96"/>
      <c r="B92" s="97"/>
      <c r="C92" s="98"/>
      <c r="D92" s="99"/>
      <c r="E92" s="100"/>
      <c r="F92" s="101"/>
      <c r="G92" s="102"/>
    </row>
    <row r="93" spans="1:9" ht="15" x14ac:dyDescent="0.25">
      <c r="A93" s="58"/>
      <c r="B93" s="54"/>
      <c r="C93" s="55"/>
      <c r="D93" s="54"/>
      <c r="E93" s="130"/>
      <c r="F93" s="103" t="s">
        <v>121</v>
      </c>
      <c r="G93" s="104">
        <f>+SUM(G90:G92)</f>
        <v>202.23984000000002</v>
      </c>
    </row>
    <row r="94" spans="1:9" ht="15" x14ac:dyDescent="0.25">
      <c r="A94" s="53" t="s">
        <v>130</v>
      </c>
      <c r="B94" s="54"/>
      <c r="C94" s="55"/>
      <c r="D94" s="54"/>
      <c r="E94" s="56"/>
      <c r="F94" s="54"/>
      <c r="G94" s="57"/>
    </row>
    <row r="95" spans="1:9" ht="15" x14ac:dyDescent="0.25">
      <c r="A95" s="58"/>
      <c r="B95" s="54"/>
      <c r="C95" s="55"/>
      <c r="D95" s="54"/>
      <c r="E95" s="56"/>
      <c r="F95" s="54"/>
      <c r="G95" s="57"/>
      <c r="I95" s="134"/>
    </row>
    <row r="96" spans="1:9" ht="15" x14ac:dyDescent="0.25">
      <c r="A96" s="1302" t="s">
        <v>116</v>
      </c>
      <c r="B96" s="1303"/>
      <c r="C96" s="82" t="s">
        <v>131</v>
      </c>
      <c r="D96" s="81" t="s">
        <v>132</v>
      </c>
      <c r="E96" s="82" t="s">
        <v>133</v>
      </c>
      <c r="F96" s="83" t="s">
        <v>126</v>
      </c>
      <c r="G96" s="84" t="s">
        <v>134</v>
      </c>
      <c r="I96" s="126"/>
    </row>
    <row r="97" spans="1:7" ht="15" x14ac:dyDescent="0.25">
      <c r="A97" s="58" t="s">
        <v>10</v>
      </c>
      <c r="B97" s="105"/>
      <c r="C97" s="106">
        <f>M2*2</f>
        <v>45963.6</v>
      </c>
      <c r="D97" s="107">
        <f>N3</f>
        <v>1.76</v>
      </c>
      <c r="E97" s="108">
        <f>C97*D97</f>
        <v>80895.936000000002</v>
      </c>
      <c r="F97" s="88">
        <v>20</v>
      </c>
      <c r="G97" s="109">
        <f>E97/F97</f>
        <v>4044.7968000000001</v>
      </c>
    </row>
    <row r="98" spans="1:7" ht="15" x14ac:dyDescent="0.25">
      <c r="A98" s="58"/>
      <c r="B98" s="135"/>
      <c r="C98" s="106"/>
      <c r="D98" s="107"/>
      <c r="E98" s="108"/>
      <c r="F98" s="88"/>
      <c r="G98" s="109"/>
    </row>
    <row r="99" spans="1:7" ht="15" x14ac:dyDescent="0.25">
      <c r="A99" s="96"/>
      <c r="B99" s="97"/>
      <c r="C99" s="99"/>
      <c r="D99" s="98"/>
      <c r="E99" s="99"/>
      <c r="F99" s="101"/>
      <c r="G99" s="116"/>
    </row>
    <row r="100" spans="1:7" ht="15" x14ac:dyDescent="0.25">
      <c r="A100" s="58"/>
      <c r="B100" s="54"/>
      <c r="C100" s="55"/>
      <c r="D100" s="130"/>
      <c r="E100" s="117"/>
      <c r="F100" s="117" t="s">
        <v>121</v>
      </c>
      <c r="G100" s="118">
        <f>+SUM(G97:G99)</f>
        <v>4044.7968000000001</v>
      </c>
    </row>
    <row r="101" spans="1:7" ht="15" x14ac:dyDescent="0.25">
      <c r="A101" s="53" t="s">
        <v>135</v>
      </c>
      <c r="B101" s="54"/>
      <c r="C101" s="55"/>
      <c r="D101" s="54"/>
      <c r="E101" s="56"/>
      <c r="F101" s="54"/>
      <c r="G101" s="57"/>
    </row>
    <row r="102" spans="1:7" ht="15" x14ac:dyDescent="0.25">
      <c r="A102" s="58"/>
      <c r="B102" s="54"/>
      <c r="C102" s="55"/>
      <c r="D102" s="54"/>
      <c r="E102" s="56"/>
      <c r="F102" s="54"/>
      <c r="G102" s="57"/>
    </row>
    <row r="103" spans="1:7" ht="15" x14ac:dyDescent="0.25">
      <c r="A103" s="1302" t="s">
        <v>116</v>
      </c>
      <c r="B103" s="1303"/>
      <c r="C103" s="82" t="s">
        <v>117</v>
      </c>
      <c r="D103" s="81" t="s">
        <v>136</v>
      </c>
      <c r="E103" s="82" t="s">
        <v>124</v>
      </c>
      <c r="F103" s="83" t="s">
        <v>126</v>
      </c>
      <c r="G103" s="84" t="s">
        <v>134</v>
      </c>
    </row>
    <row r="104" spans="1:7" ht="15" x14ac:dyDescent="0.25">
      <c r="A104" s="58"/>
      <c r="B104" s="105"/>
      <c r="C104" s="106"/>
      <c r="D104" s="107"/>
      <c r="E104" s="108"/>
      <c r="F104" s="88"/>
      <c r="G104" s="109"/>
    </row>
    <row r="105" spans="1:7" ht="15" x14ac:dyDescent="0.25">
      <c r="A105" s="58"/>
      <c r="B105" s="111"/>
      <c r="C105" s="112"/>
      <c r="D105" s="113"/>
      <c r="E105" s="112"/>
      <c r="F105" s="114"/>
      <c r="G105" s="115"/>
    </row>
    <row r="106" spans="1:7" ht="15" x14ac:dyDescent="0.25">
      <c r="A106" s="96"/>
      <c r="B106" s="97"/>
      <c r="C106" s="99"/>
      <c r="D106" s="98"/>
      <c r="E106" s="99"/>
      <c r="F106" s="101"/>
      <c r="G106" s="116"/>
    </row>
    <row r="107" spans="1:7" ht="15" x14ac:dyDescent="0.25">
      <c r="A107" s="58"/>
      <c r="B107" s="54"/>
      <c r="C107" s="55"/>
      <c r="D107" s="130"/>
      <c r="E107" s="117"/>
      <c r="F107" s="117" t="s">
        <v>121</v>
      </c>
      <c r="G107" s="118">
        <f>+SUM(G104:G106)</f>
        <v>0</v>
      </c>
    </row>
    <row r="108" spans="1:7" ht="15" x14ac:dyDescent="0.25">
      <c r="A108" s="58"/>
      <c r="B108" s="54"/>
      <c r="C108" s="55"/>
      <c r="D108" s="54"/>
      <c r="E108" s="56"/>
      <c r="F108" s="54"/>
      <c r="G108" s="119"/>
    </row>
    <row r="109" spans="1:7" ht="15" x14ac:dyDescent="0.25">
      <c r="A109" s="120"/>
      <c r="B109" s="121"/>
      <c r="C109" s="121"/>
      <c r="D109" s="121"/>
      <c r="E109" s="123"/>
      <c r="F109" s="124" t="s">
        <v>137</v>
      </c>
      <c r="G109" s="125">
        <f>+ROUND(G86+G93+G100,0)</f>
        <v>10497</v>
      </c>
    </row>
    <row r="110" spans="1:7" ht="15" x14ac:dyDescent="0.25">
      <c r="A110" s="58"/>
      <c r="B110" s="121"/>
      <c r="C110" s="121"/>
      <c r="D110" s="121"/>
      <c r="E110" s="123"/>
      <c r="F110" s="124"/>
      <c r="G110" s="124"/>
    </row>
    <row r="111" spans="1:7" ht="15" x14ac:dyDescent="0.25">
      <c r="A111" s="50" t="s">
        <v>114</v>
      </c>
      <c r="B111" s="1291" t="s">
        <v>1</v>
      </c>
      <c r="C111" s="1291"/>
      <c r="D111" s="1291"/>
      <c r="E111" s="1291"/>
      <c r="F111" s="1291"/>
      <c r="G111" s="51" t="s">
        <v>2</v>
      </c>
    </row>
    <row r="112" spans="1:7" ht="15" customHeight="1" x14ac:dyDescent="0.25">
      <c r="A112" s="1082">
        <f>'FORMATO PROPUESTA ECONÓMICA'!A11</f>
        <v>1.4</v>
      </c>
      <c r="B112" s="1284" t="str">
        <f>'FORMATO PROPUESTA ECONÓMICA'!B11</f>
        <v>Demolicion de cunetas en concreto</v>
      </c>
      <c r="C112" s="1285"/>
      <c r="D112" s="1285"/>
      <c r="E112" s="1285"/>
      <c r="F112" s="1286"/>
      <c r="G112" s="561" t="str">
        <f>'FORMATO PROPUESTA ECONÓMICA'!C11</f>
        <v>m</v>
      </c>
    </row>
    <row r="113" spans="1:7" ht="15" x14ac:dyDescent="0.25">
      <c r="A113" s="53" t="s">
        <v>115</v>
      </c>
      <c r="B113" s="54"/>
      <c r="C113" s="55"/>
      <c r="D113" s="54"/>
      <c r="E113" s="56"/>
      <c r="F113" s="54"/>
      <c r="G113" s="57"/>
    </row>
    <row r="114" spans="1:7" ht="15" x14ac:dyDescent="0.25">
      <c r="A114" s="58"/>
      <c r="B114" s="54"/>
      <c r="C114" s="55"/>
      <c r="D114" s="54"/>
      <c r="E114" s="56"/>
      <c r="F114" s="54"/>
      <c r="G114" s="57"/>
    </row>
    <row r="115" spans="1:7" ht="15" x14ac:dyDescent="0.25">
      <c r="A115" s="1304" t="s">
        <v>116</v>
      </c>
      <c r="B115" s="1305"/>
      <c r="C115" s="59" t="s">
        <v>117</v>
      </c>
      <c r="D115" s="1085" t="s">
        <v>118</v>
      </c>
      <c r="E115" s="60" t="s">
        <v>39</v>
      </c>
      <c r="F115" s="1085" t="s">
        <v>126</v>
      </c>
      <c r="G115" s="61" t="s">
        <v>120</v>
      </c>
    </row>
    <row r="116" spans="1:7" ht="15" customHeight="1" x14ac:dyDescent="0.25">
      <c r="A116" s="1306" t="s">
        <v>138</v>
      </c>
      <c r="B116" s="1307"/>
      <c r="C116" s="62" t="s">
        <v>11</v>
      </c>
      <c r="D116" s="63">
        <v>65000</v>
      </c>
      <c r="E116" s="64">
        <v>1</v>
      </c>
      <c r="F116" s="137">
        <v>15</v>
      </c>
      <c r="G116" s="66">
        <f>E116*D116/F116</f>
        <v>4333.333333333333</v>
      </c>
    </row>
    <row r="117" spans="1:7" ht="15" x14ac:dyDescent="0.25">
      <c r="A117" s="1308" t="s">
        <v>139</v>
      </c>
      <c r="B117" s="1309"/>
      <c r="C117" s="67" t="s">
        <v>11</v>
      </c>
      <c r="D117" s="68">
        <v>60000</v>
      </c>
      <c r="E117" s="69">
        <v>1</v>
      </c>
      <c r="F117" s="137">
        <v>15</v>
      </c>
      <c r="G117" s="66">
        <f>E117*D117/F117</f>
        <v>4000</v>
      </c>
    </row>
    <row r="118" spans="1:7" ht="15" x14ac:dyDescent="0.25">
      <c r="A118" s="1308"/>
      <c r="B118" s="1309"/>
      <c r="C118" s="67"/>
      <c r="D118" s="68"/>
      <c r="E118" s="69"/>
      <c r="F118" s="129"/>
      <c r="G118" s="66"/>
    </row>
    <row r="119" spans="1:7" ht="15" x14ac:dyDescent="0.25">
      <c r="A119" s="1310"/>
      <c r="B119" s="1311"/>
      <c r="C119" s="72"/>
      <c r="D119" s="73"/>
      <c r="E119" s="74"/>
      <c r="F119" s="75"/>
      <c r="G119" s="76"/>
    </row>
    <row r="120" spans="1:7" ht="15" x14ac:dyDescent="0.25">
      <c r="A120" s="1061"/>
      <c r="B120" s="77"/>
      <c r="C120" s="55"/>
      <c r="D120" s="54"/>
      <c r="E120" s="130"/>
      <c r="F120" s="79" t="s">
        <v>121</v>
      </c>
      <c r="G120" s="80">
        <f>+SUM(G116:G119)</f>
        <v>8333.3333333333321</v>
      </c>
    </row>
    <row r="121" spans="1:7" ht="15" x14ac:dyDescent="0.25">
      <c r="A121" s="53" t="s">
        <v>122</v>
      </c>
      <c r="B121" s="54"/>
      <c r="C121" s="55" t="s">
        <v>123</v>
      </c>
      <c r="D121" s="54"/>
      <c r="E121" s="56"/>
      <c r="F121" s="54"/>
      <c r="G121" s="57"/>
    </row>
    <row r="122" spans="1:7" ht="15" x14ac:dyDescent="0.25">
      <c r="A122" s="58"/>
      <c r="B122" s="54"/>
      <c r="C122" s="55"/>
      <c r="D122" s="54"/>
      <c r="E122" s="56"/>
      <c r="F122" s="54"/>
      <c r="G122" s="57"/>
    </row>
    <row r="123" spans="1:7" ht="15" x14ac:dyDescent="0.25">
      <c r="A123" s="1302" t="s">
        <v>116</v>
      </c>
      <c r="B123" s="1303"/>
      <c r="C123" s="81" t="s">
        <v>117</v>
      </c>
      <c r="D123" s="82" t="s">
        <v>124</v>
      </c>
      <c r="E123" s="82" t="s">
        <v>125</v>
      </c>
      <c r="F123" s="83" t="s">
        <v>126</v>
      </c>
      <c r="G123" s="84" t="s">
        <v>120</v>
      </c>
    </row>
    <row r="124" spans="1:7" ht="15" customHeight="1" x14ac:dyDescent="0.25">
      <c r="A124" s="1287" t="s">
        <v>127</v>
      </c>
      <c r="B124" s="1288"/>
      <c r="C124" s="85" t="s">
        <v>128</v>
      </c>
      <c r="D124" s="86"/>
      <c r="E124" s="87"/>
      <c r="F124" s="88"/>
      <c r="G124" s="89">
        <f>G135*0.05</f>
        <v>202.23984000000002</v>
      </c>
    </row>
    <row r="125" spans="1:7" ht="15" x14ac:dyDescent="0.25">
      <c r="A125" s="58"/>
      <c r="B125" s="111"/>
      <c r="C125" s="113"/>
      <c r="D125" s="131"/>
      <c r="E125" s="132"/>
      <c r="F125" s="88"/>
      <c r="G125" s="133"/>
    </row>
    <row r="126" spans="1:7" ht="15" x14ac:dyDescent="0.25">
      <c r="A126" s="96"/>
      <c r="B126" s="97"/>
      <c r="C126" s="98"/>
      <c r="D126" s="99"/>
      <c r="E126" s="100"/>
      <c r="F126" s="101"/>
      <c r="G126" s="102"/>
    </row>
    <row r="127" spans="1:7" ht="15" x14ac:dyDescent="0.25">
      <c r="A127" s="58"/>
      <c r="B127" s="54"/>
      <c r="C127" s="55"/>
      <c r="D127" s="54"/>
      <c r="E127" s="130"/>
      <c r="F127" s="103" t="s">
        <v>121</v>
      </c>
      <c r="G127" s="104">
        <f>+SUM(G124:G126)</f>
        <v>202.23984000000002</v>
      </c>
    </row>
    <row r="128" spans="1:7" ht="15" x14ac:dyDescent="0.25">
      <c r="A128" s="53" t="s">
        <v>130</v>
      </c>
      <c r="B128" s="54"/>
      <c r="C128" s="55"/>
      <c r="D128" s="54"/>
      <c r="E128" s="56"/>
      <c r="F128" s="54"/>
      <c r="G128" s="57"/>
    </row>
    <row r="129" spans="1:9" ht="15" x14ac:dyDescent="0.25">
      <c r="A129" s="58"/>
      <c r="B129" s="54"/>
      <c r="C129" s="55"/>
      <c r="D129" s="54"/>
      <c r="E129" s="56"/>
      <c r="F129" s="54"/>
      <c r="G129" s="57"/>
      <c r="I129" s="134"/>
    </row>
    <row r="130" spans="1:9" ht="15" x14ac:dyDescent="0.25">
      <c r="A130" s="1302" t="s">
        <v>116</v>
      </c>
      <c r="B130" s="1303"/>
      <c r="C130" s="82" t="s">
        <v>131</v>
      </c>
      <c r="D130" s="81" t="s">
        <v>132</v>
      </c>
      <c r="E130" s="82" t="s">
        <v>133</v>
      </c>
      <c r="F130" s="83" t="s">
        <v>126</v>
      </c>
      <c r="G130" s="84" t="s">
        <v>134</v>
      </c>
      <c r="I130" s="126"/>
    </row>
    <row r="131" spans="1:9" ht="15" x14ac:dyDescent="0.25">
      <c r="A131" s="58" t="s">
        <v>140</v>
      </c>
      <c r="B131" s="105"/>
      <c r="C131" s="106"/>
      <c r="D131" s="107">
        <f>N2</f>
        <v>1.76</v>
      </c>
      <c r="E131" s="108">
        <f>C131*D131</f>
        <v>0</v>
      </c>
      <c r="F131" s="88">
        <v>20</v>
      </c>
      <c r="G131" s="109">
        <f>E131/F131</f>
        <v>0</v>
      </c>
    </row>
    <row r="132" spans="1:9" ht="15" x14ac:dyDescent="0.25">
      <c r="A132" s="58" t="s">
        <v>10</v>
      </c>
      <c r="B132" s="135"/>
      <c r="C132" s="106">
        <f>M2*2</f>
        <v>45963.6</v>
      </c>
      <c r="D132" s="107">
        <f>N3</f>
        <v>1.76</v>
      </c>
      <c r="E132" s="108">
        <f>C132*D132</f>
        <v>80895.936000000002</v>
      </c>
      <c r="F132" s="88">
        <v>20</v>
      </c>
      <c r="G132" s="109">
        <f>E132/F132</f>
        <v>4044.7968000000001</v>
      </c>
    </row>
    <row r="133" spans="1:9" ht="15" x14ac:dyDescent="0.25">
      <c r="A133" s="58"/>
      <c r="B133" s="136"/>
      <c r="C133" s="106"/>
      <c r="D133" s="107"/>
      <c r="E133" s="108"/>
      <c r="F133" s="88"/>
      <c r="G133" s="109"/>
    </row>
    <row r="134" spans="1:9" ht="15" x14ac:dyDescent="0.25">
      <c r="A134" s="96"/>
      <c r="B134" s="97"/>
      <c r="C134" s="99"/>
      <c r="D134" s="98"/>
      <c r="E134" s="99"/>
      <c r="F134" s="101"/>
      <c r="G134" s="116"/>
    </row>
    <row r="135" spans="1:9" ht="15" x14ac:dyDescent="0.25">
      <c r="A135" s="58"/>
      <c r="B135" s="54"/>
      <c r="C135" s="55"/>
      <c r="D135" s="130"/>
      <c r="E135" s="117"/>
      <c r="F135" s="117" t="s">
        <v>121</v>
      </c>
      <c r="G135" s="118">
        <f>+SUM(G131:G134)</f>
        <v>4044.7968000000001</v>
      </c>
    </row>
    <row r="136" spans="1:9" ht="15" x14ac:dyDescent="0.25">
      <c r="A136" s="53" t="s">
        <v>135</v>
      </c>
      <c r="B136" s="54"/>
      <c r="C136" s="55"/>
      <c r="D136" s="54"/>
      <c r="E136" s="56"/>
      <c r="F136" s="54"/>
      <c r="G136" s="57"/>
    </row>
    <row r="137" spans="1:9" ht="15" x14ac:dyDescent="0.25">
      <c r="A137" s="58"/>
      <c r="B137" s="54"/>
      <c r="C137" s="55"/>
      <c r="D137" s="54"/>
      <c r="E137" s="56"/>
      <c r="F137" s="54"/>
      <c r="G137" s="57"/>
    </row>
    <row r="138" spans="1:9" ht="15" x14ac:dyDescent="0.25">
      <c r="A138" s="1302" t="s">
        <v>116</v>
      </c>
      <c r="B138" s="1303"/>
      <c r="C138" s="82" t="s">
        <v>117</v>
      </c>
      <c r="D138" s="81" t="s">
        <v>136</v>
      </c>
      <c r="E138" s="82" t="s">
        <v>124</v>
      </c>
      <c r="F138" s="83" t="s">
        <v>126</v>
      </c>
      <c r="G138" s="84" t="s">
        <v>134</v>
      </c>
    </row>
    <row r="139" spans="1:9" ht="15" x14ac:dyDescent="0.25">
      <c r="A139" s="1102"/>
      <c r="B139" s="1103"/>
      <c r="C139" s="1104"/>
      <c r="D139" s="1105"/>
      <c r="E139" s="1104"/>
      <c r="F139" s="1106"/>
      <c r="G139" s="1107"/>
    </row>
    <row r="140" spans="1:9" ht="15" x14ac:dyDescent="0.25">
      <c r="A140" s="1102"/>
      <c r="B140" s="1104"/>
      <c r="C140" s="1104"/>
      <c r="D140" s="1105"/>
      <c r="E140" s="1104"/>
      <c r="F140" s="1106"/>
      <c r="G140" s="1107"/>
    </row>
    <row r="141" spans="1:9" ht="15" x14ac:dyDescent="0.25">
      <c r="A141" s="58"/>
      <c r="B141" s="106"/>
      <c r="C141" s="106"/>
      <c r="D141" s="107"/>
      <c r="E141" s="108"/>
      <c r="F141" s="88"/>
      <c r="G141" s="109"/>
    </row>
    <row r="142" spans="1:9" ht="15" x14ac:dyDescent="0.25">
      <c r="A142" s="96"/>
      <c r="B142" s="97"/>
      <c r="C142" s="99"/>
      <c r="D142" s="98"/>
      <c r="E142" s="99"/>
      <c r="F142" s="101"/>
      <c r="G142" s="116"/>
    </row>
    <row r="143" spans="1:9" ht="15" x14ac:dyDescent="0.25">
      <c r="A143" s="58"/>
      <c r="B143" s="54"/>
      <c r="C143" s="55"/>
      <c r="D143" s="130"/>
      <c r="E143" s="117"/>
      <c r="F143" s="117" t="s">
        <v>121</v>
      </c>
      <c r="G143" s="118">
        <f>+SUM(G141:G142)</f>
        <v>0</v>
      </c>
    </row>
    <row r="144" spans="1:9" ht="15" x14ac:dyDescent="0.25">
      <c r="A144" s="58"/>
      <c r="B144" s="54"/>
      <c r="C144" s="55"/>
      <c r="D144" s="54"/>
      <c r="E144" s="56"/>
      <c r="F144" s="54"/>
      <c r="G144" s="119"/>
    </row>
    <row r="145" spans="1:7" ht="15" x14ac:dyDescent="0.25">
      <c r="A145" s="120"/>
      <c r="B145" s="121"/>
      <c r="C145" s="121"/>
      <c r="D145" s="121"/>
      <c r="E145" s="123"/>
      <c r="F145" s="124" t="s">
        <v>137</v>
      </c>
      <c r="G145" s="125">
        <f>+ROUND(G120+G127+G135,0)</f>
        <v>12580</v>
      </c>
    </row>
    <row r="147" spans="1:7" ht="15" x14ac:dyDescent="0.25">
      <c r="A147" s="50" t="s">
        <v>114</v>
      </c>
      <c r="B147" s="1291" t="s">
        <v>1</v>
      </c>
      <c r="C147" s="1291"/>
      <c r="D147" s="1291"/>
      <c r="E147" s="1291"/>
      <c r="F147" s="1291"/>
      <c r="G147" s="51" t="s">
        <v>2</v>
      </c>
    </row>
    <row r="148" spans="1:7" ht="15" customHeight="1" x14ac:dyDescent="0.25">
      <c r="A148" s="1054">
        <f>'FORMATO PROPUESTA ECONÓMICA'!A14</f>
        <v>2.2000000000000002</v>
      </c>
      <c r="B148" s="1284" t="str">
        <f>'FORMATO PROPUESTA ECONÓMICA'!B14</f>
        <v>Excavación manual material común de 0 - 2m</v>
      </c>
      <c r="C148" s="1285"/>
      <c r="D148" s="1285"/>
      <c r="E148" s="1285"/>
      <c r="F148" s="1286"/>
      <c r="G148" s="561" t="str">
        <f>'FORMATO PROPUESTA ECONÓMICA'!C14</f>
        <v>m3</v>
      </c>
    </row>
    <row r="149" spans="1:7" ht="15" x14ac:dyDescent="0.25">
      <c r="A149" s="53" t="s">
        <v>115</v>
      </c>
      <c r="B149" s="54"/>
      <c r="C149" s="55"/>
      <c r="D149" s="54"/>
      <c r="E149" s="56"/>
      <c r="F149" s="54"/>
      <c r="G149" s="57"/>
    </row>
    <row r="150" spans="1:7" ht="15" x14ac:dyDescent="0.25">
      <c r="A150" s="58"/>
      <c r="B150" s="54"/>
      <c r="C150" s="55"/>
      <c r="D150" s="54"/>
      <c r="E150" s="56"/>
      <c r="F150" s="54"/>
      <c r="G150" s="57"/>
    </row>
    <row r="151" spans="1:7" ht="15" x14ac:dyDescent="0.25">
      <c r="A151" s="1304" t="s">
        <v>116</v>
      </c>
      <c r="B151" s="1305"/>
      <c r="C151" s="59" t="s">
        <v>117</v>
      </c>
      <c r="D151" s="1085" t="s">
        <v>118</v>
      </c>
      <c r="E151" s="60" t="s">
        <v>39</v>
      </c>
      <c r="F151" s="1085" t="s">
        <v>119</v>
      </c>
      <c r="G151" s="61" t="s">
        <v>120</v>
      </c>
    </row>
    <row r="152" spans="1:7" ht="15" x14ac:dyDescent="0.25">
      <c r="A152" s="1306"/>
      <c r="B152" s="1307"/>
      <c r="C152" s="62"/>
      <c r="D152" s="63"/>
      <c r="E152" s="64"/>
      <c r="F152" s="65"/>
      <c r="G152" s="66">
        <f>E152*D152</f>
        <v>0</v>
      </c>
    </row>
    <row r="153" spans="1:7" ht="15" x14ac:dyDescent="0.25">
      <c r="A153" s="1308"/>
      <c r="B153" s="1309"/>
      <c r="C153" s="67"/>
      <c r="D153" s="68"/>
      <c r="E153" s="69"/>
      <c r="F153" s="70"/>
      <c r="G153" s="71">
        <f>E153*D153</f>
        <v>0</v>
      </c>
    </row>
    <row r="154" spans="1:7" ht="15" x14ac:dyDescent="0.25">
      <c r="A154" s="1310"/>
      <c r="B154" s="1311"/>
      <c r="C154" s="72"/>
      <c r="D154" s="73"/>
      <c r="E154" s="74"/>
      <c r="F154" s="75"/>
      <c r="G154" s="76"/>
    </row>
    <row r="155" spans="1:7" ht="15" x14ac:dyDescent="0.25">
      <c r="A155" s="1061"/>
      <c r="B155" s="77"/>
      <c r="C155" s="55"/>
      <c r="D155" s="54"/>
      <c r="E155" s="130"/>
      <c r="F155" s="79" t="s">
        <v>121</v>
      </c>
      <c r="G155" s="80">
        <f>+SUM(G152:G154)</f>
        <v>0</v>
      </c>
    </row>
    <row r="156" spans="1:7" ht="15" x14ac:dyDescent="0.25">
      <c r="A156" s="53" t="s">
        <v>122</v>
      </c>
      <c r="B156" s="54"/>
      <c r="C156" s="55" t="s">
        <v>123</v>
      </c>
      <c r="D156" s="54"/>
      <c r="E156" s="56"/>
      <c r="F156" s="54"/>
      <c r="G156" s="57"/>
    </row>
    <row r="157" spans="1:7" ht="15" x14ac:dyDescent="0.25">
      <c r="A157" s="58"/>
      <c r="B157" s="54"/>
      <c r="C157" s="55"/>
      <c r="D157" s="54"/>
      <c r="E157" s="56"/>
      <c r="F157" s="54"/>
      <c r="G157" s="57"/>
    </row>
    <row r="158" spans="1:7" ht="15" x14ac:dyDescent="0.25">
      <c r="A158" s="1302" t="s">
        <v>116</v>
      </c>
      <c r="B158" s="1303"/>
      <c r="C158" s="81" t="s">
        <v>117</v>
      </c>
      <c r="D158" s="82" t="s">
        <v>124</v>
      </c>
      <c r="E158" s="82" t="s">
        <v>125</v>
      </c>
      <c r="F158" s="83" t="s">
        <v>126</v>
      </c>
      <c r="G158" s="84" t="s">
        <v>120</v>
      </c>
    </row>
    <row r="159" spans="1:7" ht="15" customHeight="1" x14ac:dyDescent="0.25">
      <c r="A159" s="1287" t="s">
        <v>127</v>
      </c>
      <c r="B159" s="1288"/>
      <c r="C159" s="85" t="s">
        <v>128</v>
      </c>
      <c r="D159" s="86"/>
      <c r="E159" s="87"/>
      <c r="F159" s="88"/>
      <c r="G159" s="89">
        <f>G170*0.05</f>
        <v>224.71093333333334</v>
      </c>
    </row>
    <row r="160" spans="1:7" ht="15" customHeight="1" x14ac:dyDescent="0.25">
      <c r="A160" s="1316" t="s">
        <v>141</v>
      </c>
      <c r="B160" s="1317"/>
      <c r="C160" s="90" t="s">
        <v>11</v>
      </c>
      <c r="D160" s="91">
        <f>110000*1.16</f>
        <v>127599.99999999999</v>
      </c>
      <c r="E160" s="92"/>
      <c r="F160" s="93">
        <v>9</v>
      </c>
      <c r="G160" s="89">
        <f>D160/F160</f>
        <v>14177.777777777776</v>
      </c>
    </row>
    <row r="161" spans="1:7" ht="15" x14ac:dyDescent="0.25">
      <c r="A161" s="1312"/>
      <c r="B161" s="1313"/>
      <c r="C161" s="90"/>
      <c r="D161" s="131"/>
      <c r="E161" s="138"/>
      <c r="F161" s="88"/>
      <c r="G161" s="133"/>
    </row>
    <row r="162" spans="1:7" ht="15" x14ac:dyDescent="0.25">
      <c r="A162" s="96"/>
      <c r="B162" s="97"/>
      <c r="C162" s="98"/>
      <c r="D162" s="99"/>
      <c r="E162" s="100"/>
      <c r="F162" s="101"/>
      <c r="G162" s="102"/>
    </row>
    <row r="163" spans="1:7" ht="15" x14ac:dyDescent="0.25">
      <c r="A163" s="58"/>
      <c r="B163" s="54"/>
      <c r="C163" s="55"/>
      <c r="D163" s="54"/>
      <c r="E163" s="130"/>
      <c r="F163" s="103" t="s">
        <v>121</v>
      </c>
      <c r="G163" s="104">
        <f>+SUM(G159:G162)</f>
        <v>14402.488711111109</v>
      </c>
    </row>
    <row r="164" spans="1:7" ht="15" x14ac:dyDescent="0.25">
      <c r="A164" s="53" t="s">
        <v>130</v>
      </c>
      <c r="B164" s="54"/>
      <c r="C164" s="55"/>
      <c r="D164" s="54"/>
      <c r="E164" s="56"/>
      <c r="F164" s="54"/>
      <c r="G164" s="57"/>
    </row>
    <row r="165" spans="1:7" ht="15" x14ac:dyDescent="0.25">
      <c r="A165" s="58"/>
      <c r="B165" s="54"/>
      <c r="C165" s="55"/>
      <c r="D165" s="54"/>
      <c r="E165" s="56"/>
      <c r="F165" s="54"/>
      <c r="G165" s="57"/>
    </row>
    <row r="166" spans="1:7" ht="15" x14ac:dyDescent="0.25">
      <c r="A166" s="1302" t="s">
        <v>116</v>
      </c>
      <c r="B166" s="1303"/>
      <c r="C166" s="82" t="s">
        <v>131</v>
      </c>
      <c r="D166" s="81" t="s">
        <v>132</v>
      </c>
      <c r="E166" s="82" t="s">
        <v>133</v>
      </c>
      <c r="F166" s="83" t="s">
        <v>126</v>
      </c>
      <c r="G166" s="84" t="s">
        <v>134</v>
      </c>
    </row>
    <row r="167" spans="1:7" ht="15" x14ac:dyDescent="0.25">
      <c r="A167" s="58" t="s">
        <v>10</v>
      </c>
      <c r="B167" s="135"/>
      <c r="C167" s="106">
        <f>M2</f>
        <v>22981.8</v>
      </c>
      <c r="D167" s="107">
        <f>N2</f>
        <v>1.76</v>
      </c>
      <c r="E167" s="108">
        <f>C167*D167</f>
        <v>40447.968000000001</v>
      </c>
      <c r="F167" s="139">
        <v>9</v>
      </c>
      <c r="G167" s="109">
        <f>E167/F167</f>
        <v>4494.2186666666666</v>
      </c>
    </row>
    <row r="168" spans="1:7" ht="15" x14ac:dyDescent="0.25">
      <c r="A168" s="58"/>
      <c r="B168" s="136"/>
      <c r="C168" s="106"/>
      <c r="D168" s="107"/>
      <c r="E168" s="108"/>
      <c r="F168" s="88"/>
      <c r="G168" s="109"/>
    </row>
    <row r="169" spans="1:7" ht="15" x14ac:dyDescent="0.25">
      <c r="A169" s="96"/>
      <c r="B169" s="97"/>
      <c r="C169" s="99"/>
      <c r="D169" s="98"/>
      <c r="E169" s="99"/>
      <c r="F169" s="101"/>
      <c r="G169" s="116"/>
    </row>
    <row r="170" spans="1:7" ht="15" x14ac:dyDescent="0.25">
      <c r="A170" s="58"/>
      <c r="B170" s="54"/>
      <c r="C170" s="55"/>
      <c r="D170" s="130"/>
      <c r="E170" s="117"/>
      <c r="F170" s="117" t="s">
        <v>121</v>
      </c>
      <c r="G170" s="118">
        <f>+SUM(G167:G169)</f>
        <v>4494.2186666666666</v>
      </c>
    </row>
    <row r="171" spans="1:7" ht="15" x14ac:dyDescent="0.25">
      <c r="A171" s="53" t="s">
        <v>135</v>
      </c>
      <c r="B171" s="54"/>
      <c r="C171" s="55"/>
      <c r="D171" s="54"/>
      <c r="E171" s="56"/>
      <c r="F171" s="54"/>
      <c r="G171" s="57"/>
    </row>
    <row r="172" spans="1:7" ht="15" x14ac:dyDescent="0.25">
      <c r="A172" s="58"/>
      <c r="B172" s="54"/>
      <c r="C172" s="55"/>
      <c r="D172" s="54"/>
      <c r="E172" s="56"/>
      <c r="F172" s="54"/>
      <c r="G172" s="57"/>
    </row>
    <row r="173" spans="1:7" ht="15" x14ac:dyDescent="0.25">
      <c r="A173" s="1302" t="s">
        <v>116</v>
      </c>
      <c r="B173" s="1303"/>
      <c r="C173" s="82" t="s">
        <v>117</v>
      </c>
      <c r="D173" s="81" t="s">
        <v>136</v>
      </c>
      <c r="E173" s="82" t="s">
        <v>124</v>
      </c>
      <c r="F173" s="83" t="s">
        <v>126</v>
      </c>
      <c r="G173" s="84" t="s">
        <v>134</v>
      </c>
    </row>
    <row r="174" spans="1:7" ht="15" x14ac:dyDescent="0.25">
      <c r="A174" s="58"/>
      <c r="B174" s="105"/>
      <c r="C174" s="106"/>
      <c r="D174" s="107"/>
      <c r="E174" s="108"/>
      <c r="F174" s="88"/>
      <c r="G174" s="109"/>
    </row>
    <row r="175" spans="1:7" ht="15" x14ac:dyDescent="0.25">
      <c r="A175" s="58"/>
      <c r="B175" s="111"/>
      <c r="C175" s="112"/>
      <c r="D175" s="113"/>
      <c r="E175" s="112"/>
      <c r="F175" s="114"/>
      <c r="G175" s="115"/>
    </row>
    <row r="176" spans="1:7" ht="15" x14ac:dyDescent="0.25">
      <c r="A176" s="96"/>
      <c r="B176" s="97"/>
      <c r="C176" s="99"/>
      <c r="D176" s="98"/>
      <c r="E176" s="99"/>
      <c r="F176" s="101"/>
      <c r="G176" s="116"/>
    </row>
    <row r="177" spans="1:7" ht="15" x14ac:dyDescent="0.25">
      <c r="A177" s="58"/>
      <c r="B177" s="54"/>
      <c r="C177" s="55"/>
      <c r="D177" s="130"/>
      <c r="E177" s="117"/>
      <c r="F177" s="117" t="s">
        <v>121</v>
      </c>
      <c r="G177" s="118">
        <f>+SUM(G174:G176)</f>
        <v>0</v>
      </c>
    </row>
    <row r="178" spans="1:7" ht="15" x14ac:dyDescent="0.25">
      <c r="A178" s="58"/>
      <c r="B178" s="54"/>
      <c r="C178" s="55"/>
      <c r="D178" s="54"/>
      <c r="E178" s="56"/>
      <c r="F178" s="54"/>
      <c r="G178" s="119"/>
    </row>
    <row r="179" spans="1:7" ht="15" x14ac:dyDescent="0.25">
      <c r="A179" s="120"/>
      <c r="B179" s="121"/>
      <c r="C179" s="121"/>
      <c r="D179" s="121"/>
      <c r="E179" s="123"/>
      <c r="F179" s="124" t="s">
        <v>137</v>
      </c>
      <c r="G179" s="125">
        <f>+ROUND(G155+G163+G170,0)</f>
        <v>18897</v>
      </c>
    </row>
    <row r="180" spans="1:7" ht="15" x14ac:dyDescent="0.25">
      <c r="A180" s="54"/>
      <c r="B180" s="54"/>
      <c r="C180" s="54"/>
      <c r="D180" s="54"/>
      <c r="E180" s="55"/>
      <c r="F180" s="103"/>
      <c r="G180" s="103"/>
    </row>
    <row r="181" spans="1:7" ht="15" x14ac:dyDescent="0.25">
      <c r="A181" s="50" t="s">
        <v>114</v>
      </c>
      <c r="B181" s="1291" t="s">
        <v>1</v>
      </c>
      <c r="C181" s="1291"/>
      <c r="D181" s="1291"/>
      <c r="E181" s="1291"/>
      <c r="F181" s="1291"/>
      <c r="G181" s="51" t="s">
        <v>2</v>
      </c>
    </row>
    <row r="182" spans="1:7" ht="15" x14ac:dyDescent="0.25">
      <c r="A182" s="1054">
        <f>'FORMATO PROPUESTA ECONÓMICA'!A15</f>
        <v>2.2999999999999998</v>
      </c>
      <c r="B182" s="1284" t="str">
        <f>'FORMATO PROPUESTA ECONÓMICA'!B15</f>
        <v>Excavación en roca a cualquier profundidad y humedad por método no explosivo o con material no explosivo tipo cras o similar</v>
      </c>
      <c r="C182" s="1285"/>
      <c r="D182" s="1285"/>
      <c r="E182" s="1285"/>
      <c r="F182" s="1286"/>
      <c r="G182" s="561" t="str">
        <f>'FORMATO PROPUESTA ECONÓMICA'!C15</f>
        <v>m3</v>
      </c>
    </row>
    <row r="183" spans="1:7" ht="15" x14ac:dyDescent="0.25">
      <c r="A183" s="53" t="s">
        <v>115</v>
      </c>
      <c r="B183" s="54"/>
      <c r="C183" s="55"/>
      <c r="D183" s="54"/>
      <c r="E183" s="56"/>
      <c r="F183" s="54"/>
      <c r="G183" s="57"/>
    </row>
    <row r="184" spans="1:7" ht="15" x14ac:dyDescent="0.25">
      <c r="A184" s="58"/>
      <c r="B184" s="54"/>
      <c r="C184" s="55"/>
      <c r="D184" s="54"/>
      <c r="E184" s="56"/>
      <c r="F184" s="54"/>
      <c r="G184" s="57"/>
    </row>
    <row r="185" spans="1:7" ht="15" x14ac:dyDescent="0.25">
      <c r="A185" s="1304" t="s">
        <v>116</v>
      </c>
      <c r="B185" s="1305"/>
      <c r="C185" s="59" t="s">
        <v>117</v>
      </c>
      <c r="D185" s="1085" t="s">
        <v>118</v>
      </c>
      <c r="E185" s="60" t="s">
        <v>39</v>
      </c>
      <c r="F185" s="1085" t="s">
        <v>119</v>
      </c>
      <c r="G185" s="61" t="s">
        <v>120</v>
      </c>
    </row>
    <row r="186" spans="1:7" ht="15" x14ac:dyDescent="0.25">
      <c r="A186" s="1306" t="s">
        <v>432</v>
      </c>
      <c r="B186" s="1307"/>
      <c r="C186" s="62" t="s">
        <v>352</v>
      </c>
      <c r="D186" s="63">
        <f>17850*1.16</f>
        <v>20706</v>
      </c>
      <c r="E186" s="64">
        <v>9</v>
      </c>
      <c r="F186" s="65"/>
      <c r="G186" s="66">
        <f>E186*D186</f>
        <v>186354</v>
      </c>
    </row>
    <row r="187" spans="1:7" ht="15" x14ac:dyDescent="0.25">
      <c r="A187" s="1308"/>
      <c r="B187" s="1309"/>
      <c r="C187" s="67"/>
      <c r="D187" s="68"/>
      <c r="E187" s="69"/>
      <c r="F187" s="70"/>
      <c r="G187" s="71">
        <f>E187*D187</f>
        <v>0</v>
      </c>
    </row>
    <row r="188" spans="1:7" ht="15" x14ac:dyDescent="0.25">
      <c r="A188" s="1310"/>
      <c r="B188" s="1311"/>
      <c r="C188" s="72"/>
      <c r="D188" s="73"/>
      <c r="E188" s="74"/>
      <c r="F188" s="75"/>
      <c r="G188" s="76"/>
    </row>
    <row r="189" spans="1:7" ht="15" x14ac:dyDescent="0.25">
      <c r="A189" s="1061"/>
      <c r="B189" s="77"/>
      <c r="C189" s="55"/>
      <c r="D189" s="54"/>
      <c r="E189" s="130"/>
      <c r="F189" s="79" t="s">
        <v>121</v>
      </c>
      <c r="G189" s="80">
        <f>+SUM(G186:G188)</f>
        <v>186354</v>
      </c>
    </row>
    <row r="190" spans="1:7" ht="15" x14ac:dyDescent="0.25">
      <c r="A190" s="53" t="s">
        <v>122</v>
      </c>
      <c r="B190" s="54"/>
      <c r="C190" s="55" t="s">
        <v>123</v>
      </c>
      <c r="D190" s="54"/>
      <c r="E190" s="56"/>
      <c r="F190" s="54"/>
      <c r="G190" s="57"/>
    </row>
    <row r="191" spans="1:7" ht="15" x14ac:dyDescent="0.25">
      <c r="A191" s="58"/>
      <c r="B191" s="54"/>
      <c r="C191" s="55"/>
      <c r="D191" s="54"/>
      <c r="E191" s="56"/>
      <c r="F191" s="54"/>
      <c r="G191" s="57"/>
    </row>
    <row r="192" spans="1:7" ht="15" x14ac:dyDescent="0.25">
      <c r="A192" s="1302" t="s">
        <v>116</v>
      </c>
      <c r="B192" s="1303"/>
      <c r="C192" s="81" t="s">
        <v>117</v>
      </c>
      <c r="D192" s="82" t="s">
        <v>124</v>
      </c>
      <c r="E192" s="82" t="s">
        <v>39</v>
      </c>
      <c r="F192" s="83" t="s">
        <v>126</v>
      </c>
      <c r="G192" s="84" t="s">
        <v>120</v>
      </c>
    </row>
    <row r="193" spans="1:7" ht="15" x14ac:dyDescent="0.25">
      <c r="A193" s="1287" t="s">
        <v>127</v>
      </c>
      <c r="B193" s="1288"/>
      <c r="C193" s="85" t="s">
        <v>128</v>
      </c>
      <c r="D193" s="86"/>
      <c r="E193" s="87"/>
      <c r="F193" s="88"/>
      <c r="G193" s="89">
        <f>G205*0.05</f>
        <v>252.7998</v>
      </c>
    </row>
    <row r="194" spans="1:7" ht="15" customHeight="1" x14ac:dyDescent="0.25">
      <c r="A194" s="1312" t="s">
        <v>14</v>
      </c>
      <c r="B194" s="1313"/>
      <c r="C194" s="90" t="s">
        <v>11</v>
      </c>
      <c r="D194" s="91">
        <f>50000*1.16</f>
        <v>57999.999999999993</v>
      </c>
      <c r="E194" s="641">
        <v>1</v>
      </c>
      <c r="F194" s="93"/>
      <c r="G194" s="89">
        <f>D194*E194</f>
        <v>57999.999999999993</v>
      </c>
    </row>
    <row r="195" spans="1:7" ht="15" x14ac:dyDescent="0.25">
      <c r="A195" s="1312" t="s">
        <v>433</v>
      </c>
      <c r="B195" s="1313"/>
      <c r="C195" s="90" t="s">
        <v>11</v>
      </c>
      <c r="D195" s="91">
        <f>110000*1.16</f>
        <v>127599.99999999999</v>
      </c>
      <c r="E195" s="138">
        <v>0.1</v>
      </c>
      <c r="F195" s="88"/>
      <c r="G195" s="89">
        <f>D195*E195</f>
        <v>12760</v>
      </c>
    </row>
    <row r="196" spans="1:7" ht="15" x14ac:dyDescent="0.25">
      <c r="A196" s="1061"/>
      <c r="B196" s="77"/>
      <c r="C196" s="640"/>
      <c r="D196" s="190"/>
      <c r="E196" s="56"/>
      <c r="F196" s="88"/>
      <c r="G196" s="89"/>
    </row>
    <row r="197" spans="1:7" ht="15" x14ac:dyDescent="0.25">
      <c r="A197" s="96"/>
      <c r="B197" s="97"/>
      <c r="C197" s="98"/>
      <c r="D197" s="99"/>
      <c r="E197" s="100"/>
      <c r="F197" s="101"/>
      <c r="G197" s="102"/>
    </row>
    <row r="198" spans="1:7" ht="15" x14ac:dyDescent="0.25">
      <c r="A198" s="58"/>
      <c r="B198" s="54"/>
      <c r="C198" s="55"/>
      <c r="D198" s="54"/>
      <c r="E198" s="130"/>
      <c r="F198" s="103" t="s">
        <v>121</v>
      </c>
      <c r="G198" s="104">
        <f>+SUM(G193:G197)</f>
        <v>71012.799799999993</v>
      </c>
    </row>
    <row r="199" spans="1:7" ht="15" x14ac:dyDescent="0.25">
      <c r="A199" s="53" t="s">
        <v>130</v>
      </c>
      <c r="B199" s="54"/>
      <c r="C199" s="55"/>
      <c r="D199" s="54"/>
      <c r="E199" s="56"/>
      <c r="F199" s="54"/>
      <c r="G199" s="57"/>
    </row>
    <row r="200" spans="1:7" ht="15" x14ac:dyDescent="0.25">
      <c r="A200" s="58"/>
      <c r="B200" s="54"/>
      <c r="C200" s="55"/>
      <c r="D200" s="54"/>
      <c r="E200" s="56"/>
      <c r="F200" s="54"/>
      <c r="G200" s="57"/>
    </row>
    <row r="201" spans="1:7" ht="15" x14ac:dyDescent="0.25">
      <c r="A201" s="1302" t="s">
        <v>116</v>
      </c>
      <c r="B201" s="1303"/>
      <c r="C201" s="82" t="s">
        <v>131</v>
      </c>
      <c r="D201" s="81" t="s">
        <v>132</v>
      </c>
      <c r="E201" s="82" t="s">
        <v>133</v>
      </c>
      <c r="F201" s="83" t="s">
        <v>126</v>
      </c>
      <c r="G201" s="84" t="s">
        <v>134</v>
      </c>
    </row>
    <row r="202" spans="1:7" ht="15" x14ac:dyDescent="0.25">
      <c r="A202" s="58" t="s">
        <v>10</v>
      </c>
      <c r="B202" s="135"/>
      <c r="C202" s="106">
        <f>M2</f>
        <v>22981.8</v>
      </c>
      <c r="D202" s="107">
        <f>N2</f>
        <v>1.76</v>
      </c>
      <c r="E202" s="108">
        <f>C202*D202</f>
        <v>40447.968000000001</v>
      </c>
      <c r="F202" s="642">
        <v>0.125</v>
      </c>
      <c r="G202" s="109">
        <f>E202*F202</f>
        <v>5055.9960000000001</v>
      </c>
    </row>
    <row r="203" spans="1:7" ht="15" x14ac:dyDescent="0.25">
      <c r="A203" s="58"/>
      <c r="B203" s="136"/>
      <c r="C203" s="106"/>
      <c r="D203" s="107"/>
      <c r="E203" s="108"/>
      <c r="F203" s="88"/>
      <c r="G203" s="109"/>
    </row>
    <row r="204" spans="1:7" ht="15" x14ac:dyDescent="0.25">
      <c r="A204" s="96"/>
      <c r="B204" s="97"/>
      <c r="C204" s="99"/>
      <c r="D204" s="98"/>
      <c r="E204" s="99"/>
      <c r="F204" s="101"/>
      <c r="G204" s="116"/>
    </row>
    <row r="205" spans="1:7" ht="15" x14ac:dyDescent="0.25">
      <c r="A205" s="58"/>
      <c r="B205" s="54"/>
      <c r="C205" s="55"/>
      <c r="D205" s="130"/>
      <c r="E205" s="117"/>
      <c r="F205" s="117" t="s">
        <v>121</v>
      </c>
      <c r="G205" s="118">
        <f>+SUM(G202:G204)</f>
        <v>5055.9960000000001</v>
      </c>
    </row>
    <row r="206" spans="1:7" ht="15" x14ac:dyDescent="0.25">
      <c r="A206" s="53" t="s">
        <v>135</v>
      </c>
      <c r="B206" s="54"/>
      <c r="C206" s="55"/>
      <c r="D206" s="54"/>
      <c r="E206" s="56"/>
      <c r="F206" s="54"/>
      <c r="G206" s="57"/>
    </row>
    <row r="207" spans="1:7" ht="15" x14ac:dyDescent="0.25">
      <c r="A207" s="58"/>
      <c r="B207" s="54"/>
      <c r="C207" s="55"/>
      <c r="D207" s="54"/>
      <c r="E207" s="56"/>
      <c r="F207" s="54"/>
      <c r="G207" s="57"/>
    </row>
    <row r="208" spans="1:7" ht="15" x14ac:dyDescent="0.25">
      <c r="A208" s="1302" t="s">
        <v>116</v>
      </c>
      <c r="B208" s="1303"/>
      <c r="C208" s="82" t="s">
        <v>117</v>
      </c>
      <c r="D208" s="81" t="s">
        <v>136</v>
      </c>
      <c r="E208" s="82" t="s">
        <v>124</v>
      </c>
      <c r="F208" s="83" t="s">
        <v>126</v>
      </c>
      <c r="G208" s="84" t="s">
        <v>134</v>
      </c>
    </row>
    <row r="209" spans="1:9" ht="15" x14ac:dyDescent="0.25">
      <c r="A209" s="58" t="s">
        <v>434</v>
      </c>
      <c r="B209" s="105"/>
      <c r="C209" s="106" t="s">
        <v>11</v>
      </c>
      <c r="D209" s="107"/>
      <c r="E209" s="1086">
        <f>20082.4*1.16</f>
        <v>23295.583999999999</v>
      </c>
      <c r="F209" s="88">
        <v>0.1</v>
      </c>
      <c r="G209" s="109">
        <f>E209*F209</f>
        <v>2329.5583999999999</v>
      </c>
      <c r="I209" s="1087"/>
    </row>
    <row r="210" spans="1:9" ht="15" x14ac:dyDescent="0.25">
      <c r="A210" s="96"/>
      <c r="B210" s="97"/>
      <c r="C210" s="99"/>
      <c r="D210" s="98"/>
      <c r="E210" s="99"/>
      <c r="F210" s="101"/>
      <c r="G210" s="116"/>
    </row>
    <row r="211" spans="1:9" ht="15" x14ac:dyDescent="0.25">
      <c r="A211" s="58"/>
      <c r="B211" s="54"/>
      <c r="C211" s="55"/>
      <c r="D211" s="130"/>
      <c r="E211" s="117"/>
      <c r="F211" s="117" t="s">
        <v>121</v>
      </c>
      <c r="G211" s="118">
        <f>+SUM(G209:G210)</f>
        <v>2329.5583999999999</v>
      </c>
    </row>
    <row r="212" spans="1:9" ht="15" x14ac:dyDescent="0.25">
      <c r="A212" s="58"/>
      <c r="B212" s="54"/>
      <c r="C212" s="55"/>
      <c r="D212" s="54"/>
      <c r="E212" s="56"/>
      <c r="F212" s="54"/>
      <c r="G212" s="119"/>
    </row>
    <row r="213" spans="1:9" ht="15" x14ac:dyDescent="0.25">
      <c r="A213" s="120"/>
      <c r="B213" s="121"/>
      <c r="C213" s="121"/>
      <c r="D213" s="121"/>
      <c r="E213" s="123"/>
      <c r="F213" s="124" t="s">
        <v>137</v>
      </c>
      <c r="G213" s="125">
        <f>+ROUND(G189+G198+G205+G211,0)</f>
        <v>264752</v>
      </c>
    </row>
    <row r="214" spans="1:9" ht="15" x14ac:dyDescent="0.25">
      <c r="A214" s="54"/>
      <c r="B214" s="54"/>
      <c r="C214" s="54"/>
      <c r="D214" s="54"/>
      <c r="E214" s="55"/>
      <c r="F214" s="103"/>
      <c r="G214" s="103"/>
    </row>
    <row r="215" spans="1:9" ht="15" x14ac:dyDescent="0.25">
      <c r="A215" s="50" t="s">
        <v>114</v>
      </c>
      <c r="B215" s="1314" t="s">
        <v>1</v>
      </c>
      <c r="C215" s="1314"/>
      <c r="D215" s="1314"/>
      <c r="E215" s="1314"/>
      <c r="F215" s="1314"/>
      <c r="G215" s="51" t="s">
        <v>2</v>
      </c>
    </row>
    <row r="216" spans="1:9" ht="15" customHeight="1" x14ac:dyDescent="0.25">
      <c r="A216" s="1054">
        <f>'FORMATO PROPUESTA ECONÓMICA'!A18</f>
        <v>3.1</v>
      </c>
      <c r="B216" s="1315" t="str">
        <f>'FORMATO PROPUESTA ECONÓMICA'!B18</f>
        <v>Lleno y apisonado de zanjas y apiques con material seleccionado de la excavación.</v>
      </c>
      <c r="C216" s="1285"/>
      <c r="D216" s="1285"/>
      <c r="E216" s="1285"/>
      <c r="F216" s="1286"/>
      <c r="G216" s="561" t="str">
        <f>'FORMATO PROPUESTA ECONÓMICA'!C18</f>
        <v>m3</v>
      </c>
    </row>
    <row r="217" spans="1:9" ht="15" x14ac:dyDescent="0.25">
      <c r="A217" s="53" t="s">
        <v>115</v>
      </c>
      <c r="B217" s="54"/>
      <c r="C217" s="55"/>
      <c r="D217" s="54"/>
      <c r="E217" s="56"/>
      <c r="F217" s="54"/>
      <c r="G217" s="57"/>
    </row>
    <row r="218" spans="1:9" ht="15" x14ac:dyDescent="0.25">
      <c r="A218" s="58"/>
      <c r="B218" s="54"/>
      <c r="C218" s="55"/>
      <c r="D218" s="54"/>
      <c r="E218" s="56"/>
      <c r="F218" s="54"/>
      <c r="G218" s="57"/>
    </row>
    <row r="219" spans="1:9" ht="15" x14ac:dyDescent="0.25">
      <c r="A219" s="1304" t="s">
        <v>116</v>
      </c>
      <c r="B219" s="1305"/>
      <c r="C219" s="59" t="s">
        <v>117</v>
      </c>
      <c r="D219" s="1085" t="s">
        <v>118</v>
      </c>
      <c r="E219" s="60" t="s">
        <v>39</v>
      </c>
      <c r="F219" s="1085" t="s">
        <v>119</v>
      </c>
      <c r="G219" s="61" t="s">
        <v>120</v>
      </c>
    </row>
    <row r="220" spans="1:9" ht="15" x14ac:dyDescent="0.25">
      <c r="A220" s="1306"/>
      <c r="B220" s="1307"/>
      <c r="C220" s="62"/>
      <c r="D220" s="63"/>
      <c r="E220" s="64"/>
      <c r="F220" s="65"/>
      <c r="G220" s="66">
        <f>E220*D220</f>
        <v>0</v>
      </c>
    </row>
    <row r="221" spans="1:9" ht="15" x14ac:dyDescent="0.25">
      <c r="A221" s="1308"/>
      <c r="B221" s="1309"/>
      <c r="C221" s="67"/>
      <c r="D221" s="68"/>
      <c r="E221" s="69"/>
      <c r="F221" s="129"/>
      <c r="G221" s="71">
        <f>D221*E221</f>
        <v>0</v>
      </c>
    </row>
    <row r="222" spans="1:9" ht="15" x14ac:dyDescent="0.25">
      <c r="A222" s="1310"/>
      <c r="B222" s="1311"/>
      <c r="C222" s="72"/>
      <c r="D222" s="73"/>
      <c r="E222" s="74"/>
      <c r="F222" s="75"/>
      <c r="G222" s="76"/>
    </row>
    <row r="223" spans="1:9" ht="15" x14ac:dyDescent="0.25">
      <c r="A223" s="1061"/>
      <c r="B223" s="77"/>
      <c r="C223" s="55"/>
      <c r="D223" s="54"/>
      <c r="E223" s="130"/>
      <c r="F223" s="79" t="s">
        <v>121</v>
      </c>
      <c r="G223" s="80">
        <f>+SUM(G220:G222)</f>
        <v>0</v>
      </c>
    </row>
    <row r="224" spans="1:9" ht="15" x14ac:dyDescent="0.25">
      <c r="A224" s="53" t="s">
        <v>122</v>
      </c>
      <c r="B224" s="54"/>
      <c r="C224" s="55" t="s">
        <v>123</v>
      </c>
      <c r="D224" s="54"/>
      <c r="E224" s="56"/>
      <c r="F224" s="54"/>
      <c r="G224" s="57"/>
    </row>
    <row r="225" spans="1:7" ht="15" x14ac:dyDescent="0.25">
      <c r="A225" s="58"/>
      <c r="B225" s="54"/>
      <c r="C225" s="55"/>
      <c r="D225" s="54"/>
      <c r="E225" s="56"/>
      <c r="F225" s="54"/>
      <c r="G225" s="57"/>
    </row>
    <row r="226" spans="1:7" ht="15" x14ac:dyDescent="0.25">
      <c r="A226" s="1302" t="s">
        <v>116</v>
      </c>
      <c r="B226" s="1303"/>
      <c r="C226" s="81" t="s">
        <v>117</v>
      </c>
      <c r="D226" s="82" t="s">
        <v>124</v>
      </c>
      <c r="E226" s="82" t="s">
        <v>125</v>
      </c>
      <c r="F226" s="83" t="s">
        <v>126</v>
      </c>
      <c r="G226" s="84" t="s">
        <v>120</v>
      </c>
    </row>
    <row r="227" spans="1:7" ht="15" customHeight="1" x14ac:dyDescent="0.25">
      <c r="A227" s="1287" t="s">
        <v>127</v>
      </c>
      <c r="B227" s="1288"/>
      <c r="C227" s="85" t="s">
        <v>128</v>
      </c>
      <c r="D227" s="86"/>
      <c r="E227" s="87"/>
      <c r="F227" s="88"/>
      <c r="G227" s="89">
        <f>G239*0.05</f>
        <v>269.65312</v>
      </c>
    </row>
    <row r="228" spans="1:7" ht="15" customHeight="1" x14ac:dyDescent="0.25">
      <c r="A228" s="1316" t="s">
        <v>141</v>
      </c>
      <c r="B228" s="1317"/>
      <c r="C228" s="90" t="s">
        <v>11</v>
      </c>
      <c r="D228" s="91">
        <f>110000*1.16</f>
        <v>127599.99999999999</v>
      </c>
      <c r="E228" s="92"/>
      <c r="F228" s="93">
        <v>15</v>
      </c>
      <c r="G228" s="89">
        <f>D228/F228</f>
        <v>8506.6666666666661</v>
      </c>
    </row>
    <row r="229" spans="1:7" ht="15" x14ac:dyDescent="0.25">
      <c r="A229" s="1312" t="s">
        <v>142</v>
      </c>
      <c r="B229" s="1313"/>
      <c r="C229" s="90" t="s">
        <v>11</v>
      </c>
      <c r="D229" s="131">
        <v>7500</v>
      </c>
      <c r="E229" s="138"/>
      <c r="F229" s="88">
        <v>15</v>
      </c>
      <c r="G229" s="89">
        <f>D229/F229</f>
        <v>500</v>
      </c>
    </row>
    <row r="230" spans="1:7" ht="15" x14ac:dyDescent="0.25">
      <c r="A230" s="96"/>
      <c r="B230" s="97"/>
      <c r="C230" s="98"/>
      <c r="D230" s="99"/>
      <c r="E230" s="100"/>
      <c r="F230" s="101"/>
      <c r="G230" s="102"/>
    </row>
    <row r="231" spans="1:7" ht="15" x14ac:dyDescent="0.25">
      <c r="A231" s="58"/>
      <c r="B231" s="54"/>
      <c r="C231" s="55"/>
      <c r="D231" s="54"/>
      <c r="E231" s="130"/>
      <c r="F231" s="103" t="s">
        <v>121</v>
      </c>
      <c r="G231" s="104">
        <f>+SUM(G227:G230)</f>
        <v>9276.3197866666669</v>
      </c>
    </row>
    <row r="232" spans="1:7" ht="15" x14ac:dyDescent="0.25">
      <c r="A232" s="58"/>
      <c r="B232" s="54"/>
      <c r="C232" s="55"/>
      <c r="D232" s="54"/>
      <c r="E232" s="56"/>
      <c r="F232" s="130"/>
      <c r="G232" s="57"/>
    </row>
    <row r="233" spans="1:7" ht="15" x14ac:dyDescent="0.25">
      <c r="A233" s="53" t="s">
        <v>130</v>
      </c>
      <c r="B233" s="54"/>
      <c r="C233" s="55"/>
      <c r="D233" s="54"/>
      <c r="E233" s="56"/>
      <c r="F233" s="54"/>
      <c r="G233" s="57"/>
    </row>
    <row r="234" spans="1:7" ht="15" x14ac:dyDescent="0.25">
      <c r="A234" s="58"/>
      <c r="B234" s="54"/>
      <c r="C234" s="55"/>
      <c r="D234" s="54"/>
      <c r="E234" s="56"/>
      <c r="F234" s="54"/>
      <c r="G234" s="57"/>
    </row>
    <row r="235" spans="1:7" ht="15" x14ac:dyDescent="0.25">
      <c r="A235" s="1302" t="s">
        <v>116</v>
      </c>
      <c r="B235" s="1303"/>
      <c r="C235" s="82" t="s">
        <v>131</v>
      </c>
      <c r="D235" s="81" t="s">
        <v>132</v>
      </c>
      <c r="E235" s="82" t="s">
        <v>133</v>
      </c>
      <c r="F235" s="83" t="s">
        <v>126</v>
      </c>
      <c r="G235" s="84" t="s">
        <v>134</v>
      </c>
    </row>
    <row r="236" spans="1:7" ht="15" x14ac:dyDescent="0.25">
      <c r="A236" s="58" t="s">
        <v>143</v>
      </c>
      <c r="B236" s="135"/>
      <c r="C236" s="106">
        <f>M2*2</f>
        <v>45963.6</v>
      </c>
      <c r="D236" s="107">
        <f>N2</f>
        <v>1.76</v>
      </c>
      <c r="E236" s="108">
        <f>C236*D236</f>
        <v>80895.936000000002</v>
      </c>
      <c r="F236" s="88">
        <v>15</v>
      </c>
      <c r="G236" s="109">
        <f>E236/F236</f>
        <v>5393.0623999999998</v>
      </c>
    </row>
    <row r="237" spans="1:7" ht="15" x14ac:dyDescent="0.25">
      <c r="A237" s="58"/>
      <c r="B237" s="136"/>
      <c r="C237" s="106"/>
      <c r="D237" s="107"/>
      <c r="E237" s="108"/>
      <c r="F237" s="88"/>
      <c r="G237" s="109"/>
    </row>
    <row r="238" spans="1:7" ht="15" x14ac:dyDescent="0.25">
      <c r="A238" s="96"/>
      <c r="B238" s="97"/>
      <c r="C238" s="99"/>
      <c r="D238" s="98"/>
      <c r="E238" s="99"/>
      <c r="F238" s="101"/>
      <c r="G238" s="116"/>
    </row>
    <row r="239" spans="1:7" ht="15" x14ac:dyDescent="0.25">
      <c r="A239" s="58"/>
      <c r="B239" s="54"/>
      <c r="C239" s="55"/>
      <c r="D239" s="130"/>
      <c r="E239" s="117"/>
      <c r="F239" s="117" t="s">
        <v>121</v>
      </c>
      <c r="G239" s="118">
        <f>+SUM(G236:G238)</f>
        <v>5393.0623999999998</v>
      </c>
    </row>
    <row r="240" spans="1:7" ht="15" x14ac:dyDescent="0.25">
      <c r="A240" s="53" t="s">
        <v>135</v>
      </c>
      <c r="B240" s="54"/>
      <c r="C240" s="55"/>
      <c r="D240" s="54"/>
      <c r="E240" s="56"/>
      <c r="F240" s="54"/>
      <c r="G240" s="57"/>
    </row>
    <row r="241" spans="1:7" ht="15" x14ac:dyDescent="0.25">
      <c r="A241" s="58"/>
      <c r="B241" s="54"/>
      <c r="C241" s="55"/>
      <c r="D241" s="54"/>
      <c r="E241" s="56"/>
      <c r="F241" s="54"/>
      <c r="G241" s="57"/>
    </row>
    <row r="242" spans="1:7" ht="15" x14ac:dyDescent="0.25">
      <c r="A242" s="1302" t="s">
        <v>116</v>
      </c>
      <c r="B242" s="1303"/>
      <c r="C242" s="82" t="s">
        <v>117</v>
      </c>
      <c r="D242" s="81" t="s">
        <v>136</v>
      </c>
      <c r="E242" s="82" t="s">
        <v>124</v>
      </c>
      <c r="F242" s="83" t="s">
        <v>126</v>
      </c>
      <c r="G242" s="84" t="s">
        <v>134</v>
      </c>
    </row>
    <row r="243" spans="1:7" ht="15" x14ac:dyDescent="0.25">
      <c r="A243" s="58"/>
      <c r="B243" s="105"/>
      <c r="C243" s="106"/>
      <c r="D243" s="107"/>
      <c r="E243" s="108"/>
      <c r="F243" s="88"/>
      <c r="G243" s="109"/>
    </row>
    <row r="244" spans="1:7" ht="15" x14ac:dyDescent="0.25">
      <c r="A244" s="96"/>
      <c r="B244" s="97"/>
      <c r="C244" s="99"/>
      <c r="D244" s="98"/>
      <c r="E244" s="99"/>
      <c r="F244" s="101"/>
      <c r="G244" s="116"/>
    </row>
    <row r="245" spans="1:7" ht="15" x14ac:dyDescent="0.25">
      <c r="A245" s="58"/>
      <c r="B245" s="54"/>
      <c r="C245" s="55"/>
      <c r="D245" s="130"/>
      <c r="E245" s="117"/>
      <c r="F245" s="117" t="s">
        <v>121</v>
      </c>
      <c r="G245" s="118">
        <f>+SUM(G243:G244)</f>
        <v>0</v>
      </c>
    </row>
    <row r="246" spans="1:7" ht="15" x14ac:dyDescent="0.25">
      <c r="A246" s="58"/>
      <c r="B246" s="54"/>
      <c r="C246" s="55"/>
      <c r="D246" s="54"/>
      <c r="E246" s="56"/>
      <c r="F246" s="54"/>
      <c r="G246" s="119"/>
    </row>
    <row r="247" spans="1:7" ht="15" x14ac:dyDescent="0.25">
      <c r="A247" s="120"/>
      <c r="B247" s="121"/>
      <c r="C247" s="121"/>
      <c r="D247" s="121"/>
      <c r="E247" s="123"/>
      <c r="F247" s="124" t="s">
        <v>137</v>
      </c>
      <c r="G247" s="125">
        <f>+ROUND(G223+G231+G239,0)</f>
        <v>14669</v>
      </c>
    </row>
    <row r="248" spans="1:7" ht="15" x14ac:dyDescent="0.25">
      <c r="A248" s="58"/>
      <c r="B248" s="121"/>
      <c r="C248" s="121"/>
      <c r="D248" s="121"/>
      <c r="E248" s="123"/>
      <c r="F248" s="124"/>
      <c r="G248" s="124"/>
    </row>
    <row r="249" spans="1:7" ht="15" x14ac:dyDescent="0.25">
      <c r="A249" s="50" t="s">
        <v>114</v>
      </c>
      <c r="B249" s="1291" t="s">
        <v>1</v>
      </c>
      <c r="C249" s="1291"/>
      <c r="D249" s="1291"/>
      <c r="E249" s="1291"/>
      <c r="F249" s="1291"/>
      <c r="G249" s="51" t="s">
        <v>2</v>
      </c>
    </row>
    <row r="250" spans="1:7" ht="30" customHeight="1" x14ac:dyDescent="0.25">
      <c r="A250" s="1054">
        <f>'FORMATO PROPUESTA ECONÓMICA'!A19</f>
        <v>3.2</v>
      </c>
      <c r="B250" s="1315" t="str">
        <f>'FORMATO PROPUESTA ECONÓMICA'!B19</f>
        <v>Lleno y apisonado de zanjas y apiques con material de préstamo (incluye compactación)</v>
      </c>
      <c r="C250" s="1285"/>
      <c r="D250" s="1285"/>
      <c r="E250" s="1285"/>
      <c r="F250" s="1286"/>
      <c r="G250" s="561" t="str">
        <f>'FORMATO PROPUESTA ECONÓMICA'!C19</f>
        <v>m3</v>
      </c>
    </row>
    <row r="251" spans="1:7" ht="15" x14ac:dyDescent="0.25">
      <c r="A251" s="53" t="s">
        <v>115</v>
      </c>
      <c r="B251" s="54"/>
      <c r="C251" s="55"/>
      <c r="D251" s="54"/>
      <c r="E251" s="56"/>
      <c r="F251" s="54"/>
      <c r="G251" s="57"/>
    </row>
    <row r="252" spans="1:7" ht="15" x14ac:dyDescent="0.25">
      <c r="A252" s="58"/>
      <c r="B252" s="54"/>
      <c r="C252" s="55"/>
      <c r="D252" s="54"/>
      <c r="E252" s="56"/>
      <c r="F252" s="54"/>
      <c r="G252" s="57"/>
    </row>
    <row r="253" spans="1:7" ht="15" x14ac:dyDescent="0.25">
      <c r="A253" s="1304" t="s">
        <v>116</v>
      </c>
      <c r="B253" s="1305"/>
      <c r="C253" s="59" t="s">
        <v>117</v>
      </c>
      <c r="D253" s="1085" t="s">
        <v>118</v>
      </c>
      <c r="E253" s="60" t="s">
        <v>39</v>
      </c>
      <c r="F253" s="1085" t="s">
        <v>119</v>
      </c>
      <c r="G253" s="61" t="s">
        <v>120</v>
      </c>
    </row>
    <row r="254" spans="1:7" ht="15" customHeight="1" x14ac:dyDescent="0.25">
      <c r="A254" s="1306" t="s">
        <v>144</v>
      </c>
      <c r="B254" s="1307"/>
      <c r="C254" s="62" t="s">
        <v>15</v>
      </c>
      <c r="D254" s="63">
        <v>20000</v>
      </c>
      <c r="E254" s="64">
        <v>1.2</v>
      </c>
      <c r="F254" s="65"/>
      <c r="G254" s="66">
        <f>E254*D254</f>
        <v>24000</v>
      </c>
    </row>
    <row r="255" spans="1:7" ht="15" x14ac:dyDescent="0.25">
      <c r="A255" s="1308"/>
      <c r="B255" s="1309"/>
      <c r="C255" s="67"/>
      <c r="D255" s="68"/>
      <c r="E255" s="69"/>
      <c r="F255" s="129"/>
      <c r="G255" s="71">
        <f>D255*E255</f>
        <v>0</v>
      </c>
    </row>
    <row r="256" spans="1:7" ht="15" x14ac:dyDescent="0.25">
      <c r="A256" s="1310"/>
      <c r="B256" s="1311"/>
      <c r="C256" s="72"/>
      <c r="D256" s="73"/>
      <c r="E256" s="74"/>
      <c r="F256" s="75"/>
      <c r="G256" s="76"/>
    </row>
    <row r="257" spans="1:7" ht="15" x14ac:dyDescent="0.25">
      <c r="A257" s="1061"/>
      <c r="B257" s="77"/>
      <c r="C257" s="55"/>
      <c r="D257" s="54"/>
      <c r="E257" s="130"/>
      <c r="F257" s="79" t="s">
        <v>121</v>
      </c>
      <c r="G257" s="80">
        <f>+SUM(G254:G256)</f>
        <v>24000</v>
      </c>
    </row>
    <row r="258" spans="1:7" ht="15" x14ac:dyDescent="0.25">
      <c r="A258" s="53" t="s">
        <v>122</v>
      </c>
      <c r="B258" s="54"/>
      <c r="C258" s="55" t="s">
        <v>123</v>
      </c>
      <c r="D258" s="54"/>
      <c r="E258" s="56"/>
      <c r="F258" s="54"/>
      <c r="G258" s="57"/>
    </row>
    <row r="259" spans="1:7" ht="15" x14ac:dyDescent="0.25">
      <c r="A259" s="58"/>
      <c r="B259" s="54"/>
      <c r="C259" s="55"/>
      <c r="D259" s="54"/>
      <c r="E259" s="56"/>
      <c r="F259" s="54"/>
      <c r="G259" s="57"/>
    </row>
    <row r="260" spans="1:7" ht="15" x14ac:dyDescent="0.25">
      <c r="A260" s="1302" t="s">
        <v>116</v>
      </c>
      <c r="B260" s="1303"/>
      <c r="C260" s="81" t="s">
        <v>117</v>
      </c>
      <c r="D260" s="82" t="s">
        <v>124</v>
      </c>
      <c r="E260" s="82" t="s">
        <v>125</v>
      </c>
      <c r="F260" s="83" t="s">
        <v>126</v>
      </c>
      <c r="G260" s="84" t="s">
        <v>120</v>
      </c>
    </row>
    <row r="261" spans="1:7" ht="15" customHeight="1" x14ac:dyDescent="0.25">
      <c r="A261" s="1287" t="s">
        <v>127</v>
      </c>
      <c r="B261" s="1288"/>
      <c r="C261" s="85" t="s">
        <v>128</v>
      </c>
      <c r="D261" s="86"/>
      <c r="E261" s="87"/>
      <c r="F261" s="88"/>
      <c r="G261" s="89">
        <f>G273*0.05</f>
        <v>63.199950000000001</v>
      </c>
    </row>
    <row r="262" spans="1:7" ht="15" customHeight="1" x14ac:dyDescent="0.25">
      <c r="A262" s="1316" t="s">
        <v>141</v>
      </c>
      <c r="B262" s="1317"/>
      <c r="C262" s="90" t="s">
        <v>11</v>
      </c>
      <c r="D262" s="91">
        <f>110000*1.16</f>
        <v>127599.99999999999</v>
      </c>
      <c r="E262" s="92"/>
      <c r="F262" s="93">
        <v>0.12</v>
      </c>
      <c r="G262" s="89">
        <f>D262*F262</f>
        <v>15311.999999999998</v>
      </c>
    </row>
    <row r="263" spans="1:7" ht="15" x14ac:dyDescent="0.25">
      <c r="A263" s="1312" t="s">
        <v>142</v>
      </c>
      <c r="B263" s="1313"/>
      <c r="C263" s="90" t="s">
        <v>11</v>
      </c>
      <c r="D263" s="131">
        <f>6500.125*1.16</f>
        <v>7540.1449999999995</v>
      </c>
      <c r="E263" s="138"/>
      <c r="F263" s="88">
        <v>0.8</v>
      </c>
      <c r="G263" s="89">
        <f>F263*D263</f>
        <v>6032.116</v>
      </c>
    </row>
    <row r="264" spans="1:7" ht="15" x14ac:dyDescent="0.25">
      <c r="A264" s="58"/>
      <c r="B264" s="111"/>
      <c r="C264" s="113"/>
      <c r="D264" s="131"/>
      <c r="E264" s="132"/>
      <c r="F264" s="88"/>
      <c r="G264" s="133"/>
    </row>
    <row r="265" spans="1:7" ht="15" x14ac:dyDescent="0.25">
      <c r="A265" s="96"/>
      <c r="B265" s="97"/>
      <c r="C265" s="98"/>
      <c r="D265" s="99"/>
      <c r="E265" s="100"/>
      <c r="F265" s="101"/>
      <c r="G265" s="102"/>
    </row>
    <row r="266" spans="1:7" ht="15" x14ac:dyDescent="0.25">
      <c r="A266" s="58"/>
      <c r="B266" s="54"/>
      <c r="C266" s="55"/>
      <c r="D266" s="54"/>
      <c r="E266" s="130"/>
      <c r="F266" s="103" t="s">
        <v>121</v>
      </c>
      <c r="G266" s="104">
        <f>+SUM(G261:G265)</f>
        <v>21407.315949999997</v>
      </c>
    </row>
    <row r="267" spans="1:7" ht="15" x14ac:dyDescent="0.25">
      <c r="A267" s="53" t="s">
        <v>130</v>
      </c>
      <c r="B267" s="54"/>
      <c r="C267" s="55"/>
      <c r="D267" s="54"/>
      <c r="E267" s="56"/>
      <c r="F267" s="54"/>
      <c r="G267" s="57"/>
    </row>
    <row r="268" spans="1:7" ht="15" x14ac:dyDescent="0.25">
      <c r="A268" s="58"/>
      <c r="B268" s="54"/>
      <c r="C268" s="55"/>
      <c r="D268" s="54"/>
      <c r="E268" s="56"/>
      <c r="F268" s="54"/>
      <c r="G268" s="57"/>
    </row>
    <row r="269" spans="1:7" ht="15" x14ac:dyDescent="0.25">
      <c r="A269" s="1302" t="s">
        <v>116</v>
      </c>
      <c r="B269" s="1303"/>
      <c r="C269" s="82" t="s">
        <v>131</v>
      </c>
      <c r="D269" s="81" t="s">
        <v>132</v>
      </c>
      <c r="E269" s="82" t="s">
        <v>133</v>
      </c>
      <c r="F269" s="83" t="s">
        <v>126</v>
      </c>
      <c r="G269" s="84" t="s">
        <v>134</v>
      </c>
    </row>
    <row r="270" spans="1:7" ht="15" x14ac:dyDescent="0.25">
      <c r="A270" s="58" t="s">
        <v>145</v>
      </c>
      <c r="B270" s="135"/>
      <c r="C270" s="106">
        <f>M2*2</f>
        <v>45963.6</v>
      </c>
      <c r="D270" s="107">
        <f>N2</f>
        <v>1.76</v>
      </c>
      <c r="E270" s="108">
        <f>C270*D270</f>
        <v>80895.936000000002</v>
      </c>
      <c r="F270" s="88">
        <v>1.5625E-2</v>
      </c>
      <c r="G270" s="109">
        <f>F270*E270</f>
        <v>1263.999</v>
      </c>
    </row>
    <row r="271" spans="1:7" ht="15" x14ac:dyDescent="0.25">
      <c r="A271" s="58"/>
      <c r="B271" s="136"/>
      <c r="C271" s="106"/>
      <c r="D271" s="107"/>
      <c r="E271" s="108"/>
      <c r="F271" s="88"/>
      <c r="G271" s="109"/>
    </row>
    <row r="272" spans="1:7" ht="15" x14ac:dyDescent="0.25">
      <c r="A272" s="96"/>
      <c r="B272" s="97"/>
      <c r="C272" s="99"/>
      <c r="D272" s="98"/>
      <c r="E272" s="99"/>
      <c r="F272" s="101"/>
      <c r="G272" s="116"/>
    </row>
    <row r="273" spans="1:7" ht="15" x14ac:dyDescent="0.25">
      <c r="A273" s="58"/>
      <c r="B273" s="54"/>
      <c r="C273" s="55"/>
      <c r="D273" s="130"/>
      <c r="E273" s="117"/>
      <c r="F273" s="117" t="s">
        <v>121</v>
      </c>
      <c r="G273" s="118">
        <f>+SUM(G270:G272)</f>
        <v>1263.999</v>
      </c>
    </row>
    <row r="274" spans="1:7" ht="15" x14ac:dyDescent="0.25">
      <c r="A274" s="53" t="s">
        <v>135</v>
      </c>
      <c r="B274" s="54"/>
      <c r="C274" s="55"/>
      <c r="D274" s="54"/>
      <c r="E274" s="56"/>
      <c r="F274" s="54"/>
      <c r="G274" s="57"/>
    </row>
    <row r="275" spans="1:7" ht="15" x14ac:dyDescent="0.25">
      <c r="A275" s="58"/>
      <c r="B275" s="54"/>
      <c r="C275" s="55"/>
      <c r="D275" s="54"/>
      <c r="E275" s="56"/>
      <c r="F275" s="54"/>
      <c r="G275" s="57"/>
    </row>
    <row r="276" spans="1:7" ht="15" x14ac:dyDescent="0.25">
      <c r="A276" s="1302" t="s">
        <v>116</v>
      </c>
      <c r="B276" s="1303"/>
      <c r="C276" s="82" t="s">
        <v>117</v>
      </c>
      <c r="D276" s="81" t="s">
        <v>136</v>
      </c>
      <c r="E276" s="82" t="s">
        <v>528</v>
      </c>
      <c r="F276" s="83" t="s">
        <v>126</v>
      </c>
      <c r="G276" s="84" t="s">
        <v>134</v>
      </c>
    </row>
    <row r="277" spans="1:7" ht="15" x14ac:dyDescent="0.25">
      <c r="A277" s="58" t="s">
        <v>527</v>
      </c>
      <c r="B277" s="105"/>
      <c r="C277" s="106" t="s">
        <v>15</v>
      </c>
      <c r="D277" s="107">
        <v>27000</v>
      </c>
      <c r="E277" s="1118">
        <v>1.3</v>
      </c>
      <c r="F277" s="88">
        <v>0.113</v>
      </c>
      <c r="G277" s="109">
        <f>D277*E277*F277</f>
        <v>3966.3</v>
      </c>
    </row>
    <row r="278" spans="1:7" ht="15" x14ac:dyDescent="0.25">
      <c r="A278" s="96"/>
      <c r="B278" s="97"/>
      <c r="C278" s="99"/>
      <c r="D278" s="98"/>
      <c r="E278" s="99"/>
      <c r="F278" s="101"/>
      <c r="G278" s="116"/>
    </row>
    <row r="279" spans="1:7" ht="15" x14ac:dyDescent="0.25">
      <c r="A279" s="58"/>
      <c r="B279" s="54"/>
      <c r="C279" s="55"/>
      <c r="D279" s="130"/>
      <c r="E279" s="117"/>
      <c r="F279" s="117" t="s">
        <v>121</v>
      </c>
      <c r="G279" s="118">
        <f>+SUM(G277:G278)</f>
        <v>3966.3</v>
      </c>
    </row>
    <row r="280" spans="1:7" ht="15" x14ac:dyDescent="0.25">
      <c r="A280" s="58"/>
      <c r="B280" s="54"/>
      <c r="C280" s="55"/>
      <c r="D280" s="54"/>
      <c r="E280" s="56"/>
      <c r="F280" s="54"/>
      <c r="G280" s="119"/>
    </row>
    <row r="281" spans="1:7" ht="15" x14ac:dyDescent="0.25">
      <c r="A281" s="120"/>
      <c r="B281" s="121"/>
      <c r="C281" s="121"/>
      <c r="D281" s="121"/>
      <c r="E281" s="123"/>
      <c r="F281" s="124" t="s">
        <v>137</v>
      </c>
      <c r="G281" s="125">
        <f>ROUND(G257+G266+G273+G279,0)</f>
        <v>50638</v>
      </c>
    </row>
    <row r="282" spans="1:7" ht="15" x14ac:dyDescent="0.25">
      <c r="A282" s="58"/>
      <c r="B282" s="121"/>
      <c r="C282" s="121"/>
      <c r="D282" s="121"/>
      <c r="E282" s="123"/>
      <c r="F282" s="124"/>
      <c r="G282" s="124"/>
    </row>
    <row r="283" spans="1:7" ht="15" x14ac:dyDescent="0.25">
      <c r="A283" s="50" t="s">
        <v>114</v>
      </c>
      <c r="B283" s="1291" t="s">
        <v>1</v>
      </c>
      <c r="C283" s="1291"/>
      <c r="D283" s="1291"/>
      <c r="E283" s="1291"/>
      <c r="F283" s="1291"/>
      <c r="G283" s="51" t="s">
        <v>2</v>
      </c>
    </row>
    <row r="284" spans="1:7" ht="31.5" customHeight="1" x14ac:dyDescent="0.25">
      <c r="A284" s="1054">
        <f>'FORMATO PROPUESTA ECONÓMICA'!A20</f>
        <v>3.3</v>
      </c>
      <c r="B284" s="1315" t="str">
        <f>'FORMATO PROPUESTA ECONÓMICA'!B20</f>
        <v>Lleno y apisonado de zanjas y apiques con arenilla para protección de tubería (incluye compactación)</v>
      </c>
      <c r="C284" s="1285"/>
      <c r="D284" s="1285"/>
      <c r="E284" s="1285"/>
      <c r="F284" s="1286"/>
      <c r="G284" s="561" t="str">
        <f>'FORMATO PROPUESTA ECONÓMICA'!C20</f>
        <v>m3</v>
      </c>
    </row>
    <row r="285" spans="1:7" ht="15" x14ac:dyDescent="0.25">
      <c r="A285" s="53" t="s">
        <v>115</v>
      </c>
      <c r="B285" s="54"/>
      <c r="C285" s="55"/>
      <c r="D285" s="54"/>
      <c r="E285" s="56"/>
      <c r="F285" s="54"/>
      <c r="G285" s="57"/>
    </row>
    <row r="286" spans="1:7" ht="15" x14ac:dyDescent="0.25">
      <c r="A286" s="58"/>
      <c r="B286" s="54"/>
      <c r="C286" s="55"/>
      <c r="D286" s="54"/>
      <c r="E286" s="56"/>
      <c r="F286" s="54"/>
      <c r="G286" s="57"/>
    </row>
    <row r="287" spans="1:7" ht="15" x14ac:dyDescent="0.25">
      <c r="A287" s="1304" t="s">
        <v>116</v>
      </c>
      <c r="B287" s="1305"/>
      <c r="C287" s="59" t="s">
        <v>117</v>
      </c>
      <c r="D287" s="1085" t="s">
        <v>118</v>
      </c>
      <c r="E287" s="60" t="s">
        <v>39</v>
      </c>
      <c r="F287" s="1085" t="s">
        <v>119</v>
      </c>
      <c r="G287" s="61" t="s">
        <v>120</v>
      </c>
    </row>
    <row r="288" spans="1:7" ht="15" customHeight="1" x14ac:dyDescent="0.25">
      <c r="A288" s="1306" t="s">
        <v>144</v>
      </c>
      <c r="B288" s="1307"/>
      <c r="C288" s="62" t="s">
        <v>15</v>
      </c>
      <c r="D288" s="63">
        <v>12000</v>
      </c>
      <c r="E288" s="64">
        <v>1.1499999999999999</v>
      </c>
      <c r="F288" s="65"/>
      <c r="G288" s="66">
        <f>E288*D288</f>
        <v>13799.999999999998</v>
      </c>
    </row>
    <row r="289" spans="1:7" ht="15" x14ac:dyDescent="0.25">
      <c r="A289" s="1308"/>
      <c r="B289" s="1309"/>
      <c r="C289" s="67"/>
      <c r="D289" s="68"/>
      <c r="E289" s="69"/>
      <c r="F289" s="129"/>
      <c r="G289" s="71">
        <f>D289*E289</f>
        <v>0</v>
      </c>
    </row>
    <row r="290" spans="1:7" ht="15" x14ac:dyDescent="0.25">
      <c r="A290" s="1310"/>
      <c r="B290" s="1311"/>
      <c r="C290" s="72"/>
      <c r="D290" s="73"/>
      <c r="E290" s="74"/>
      <c r="F290" s="75"/>
      <c r="G290" s="76"/>
    </row>
    <row r="291" spans="1:7" ht="15" x14ac:dyDescent="0.25">
      <c r="A291" s="1061"/>
      <c r="B291" s="77"/>
      <c r="C291" s="55"/>
      <c r="D291" s="54"/>
      <c r="E291" s="130"/>
      <c r="F291" s="79" t="s">
        <v>121</v>
      </c>
      <c r="G291" s="80">
        <f>+SUM(G288:G290)</f>
        <v>13799.999999999998</v>
      </c>
    </row>
    <row r="292" spans="1:7" ht="15" x14ac:dyDescent="0.25">
      <c r="A292" s="53" t="s">
        <v>122</v>
      </c>
      <c r="B292" s="54"/>
      <c r="C292" s="55" t="s">
        <v>123</v>
      </c>
      <c r="D292" s="54"/>
      <c r="E292" s="56"/>
      <c r="F292" s="54"/>
      <c r="G292" s="57"/>
    </row>
    <row r="293" spans="1:7" ht="15" x14ac:dyDescent="0.25">
      <c r="A293" s="58"/>
      <c r="B293" s="54"/>
      <c r="C293" s="55"/>
      <c r="D293" s="54"/>
      <c r="E293" s="56"/>
      <c r="F293" s="54"/>
      <c r="G293" s="57"/>
    </row>
    <row r="294" spans="1:7" ht="15" x14ac:dyDescent="0.25">
      <c r="A294" s="1302" t="s">
        <v>116</v>
      </c>
      <c r="B294" s="1303"/>
      <c r="C294" s="81" t="s">
        <v>117</v>
      </c>
      <c r="D294" s="82" t="s">
        <v>124</v>
      </c>
      <c r="E294" s="82" t="s">
        <v>125</v>
      </c>
      <c r="F294" s="83" t="s">
        <v>126</v>
      </c>
      <c r="G294" s="84" t="s">
        <v>120</v>
      </c>
    </row>
    <row r="295" spans="1:7" ht="15" customHeight="1" x14ac:dyDescent="0.25">
      <c r="A295" s="1287" t="s">
        <v>127</v>
      </c>
      <c r="B295" s="1288"/>
      <c r="C295" s="85" t="s">
        <v>128</v>
      </c>
      <c r="D295" s="86"/>
      <c r="E295" s="87"/>
      <c r="F295" s="88"/>
      <c r="G295" s="89">
        <f>G307*0.05</f>
        <v>808.95936000000006</v>
      </c>
    </row>
    <row r="296" spans="1:7" ht="15" customHeight="1" x14ac:dyDescent="0.25">
      <c r="A296" s="1316" t="s">
        <v>146</v>
      </c>
      <c r="B296" s="1317"/>
      <c r="C296" s="90" t="s">
        <v>11</v>
      </c>
      <c r="D296" s="91">
        <f>110000*1.16</f>
        <v>127599.99999999999</v>
      </c>
      <c r="E296" s="92"/>
      <c r="F296" s="93">
        <v>0.2</v>
      </c>
      <c r="G296" s="89">
        <f>F296*D296</f>
        <v>25520</v>
      </c>
    </row>
    <row r="297" spans="1:7" ht="15" x14ac:dyDescent="0.25">
      <c r="A297" s="1312" t="s">
        <v>142</v>
      </c>
      <c r="B297" s="1313"/>
      <c r="C297" s="90" t="s">
        <v>11</v>
      </c>
      <c r="D297" s="131">
        <v>7460</v>
      </c>
      <c r="E297" s="138"/>
      <c r="F297" s="88">
        <f>0.5</f>
        <v>0.5</v>
      </c>
      <c r="G297" s="89">
        <f>F297*D297</f>
        <v>3730</v>
      </c>
    </row>
    <row r="298" spans="1:7" ht="15" x14ac:dyDescent="0.25">
      <c r="A298" s="58"/>
      <c r="B298" s="111"/>
      <c r="C298" s="113"/>
      <c r="D298" s="131"/>
      <c r="E298" s="132"/>
      <c r="F298" s="88"/>
      <c r="G298" s="133"/>
    </row>
    <row r="299" spans="1:7" ht="15" x14ac:dyDescent="0.25">
      <c r="A299" s="96"/>
      <c r="B299" s="97"/>
      <c r="C299" s="98"/>
      <c r="D299" s="99"/>
      <c r="E299" s="100"/>
      <c r="F299" s="101"/>
      <c r="G299" s="102"/>
    </row>
    <row r="300" spans="1:7" ht="15" x14ac:dyDescent="0.25">
      <c r="A300" s="58"/>
      <c r="B300" s="54"/>
      <c r="C300" s="55"/>
      <c r="D300" s="54"/>
      <c r="E300" s="130"/>
      <c r="F300" s="103" t="s">
        <v>121</v>
      </c>
      <c r="G300" s="104">
        <f>+SUM(G295:G299)</f>
        <v>30058.959360000001</v>
      </c>
    </row>
    <row r="301" spans="1:7" ht="15" x14ac:dyDescent="0.25">
      <c r="A301" s="53" t="s">
        <v>130</v>
      </c>
      <c r="B301" s="54"/>
      <c r="C301" s="55"/>
      <c r="D301" s="54"/>
      <c r="E301" s="56"/>
      <c r="F301" s="54"/>
      <c r="G301" s="57"/>
    </row>
    <row r="302" spans="1:7" ht="15" x14ac:dyDescent="0.25">
      <c r="A302" s="58"/>
      <c r="B302" s="54"/>
      <c r="C302" s="55"/>
      <c r="D302" s="54"/>
      <c r="E302" s="56"/>
      <c r="F302" s="54"/>
      <c r="G302" s="57"/>
    </row>
    <row r="303" spans="1:7" ht="15" x14ac:dyDescent="0.25">
      <c r="A303" s="1302" t="s">
        <v>116</v>
      </c>
      <c r="B303" s="1303"/>
      <c r="C303" s="82" t="s">
        <v>131</v>
      </c>
      <c r="D303" s="81" t="s">
        <v>132</v>
      </c>
      <c r="E303" s="82" t="s">
        <v>133</v>
      </c>
      <c r="F303" s="83" t="s">
        <v>126</v>
      </c>
      <c r="G303" s="84" t="s">
        <v>134</v>
      </c>
    </row>
    <row r="304" spans="1:7" ht="15" x14ac:dyDescent="0.25">
      <c r="A304" s="58" t="s">
        <v>147</v>
      </c>
      <c r="B304" s="135"/>
      <c r="C304" s="106">
        <f>M2*2</f>
        <v>45963.6</v>
      </c>
      <c r="D304" s="107">
        <v>1.76</v>
      </c>
      <c r="E304" s="108">
        <f>C304*D304</f>
        <v>80895.936000000002</v>
      </c>
      <c r="F304" s="88">
        <v>0.2</v>
      </c>
      <c r="G304" s="109">
        <f>F304*E304</f>
        <v>16179.1872</v>
      </c>
    </row>
    <row r="305" spans="1:8" ht="15" x14ac:dyDescent="0.25">
      <c r="A305" s="58"/>
      <c r="B305" s="136"/>
      <c r="C305" s="106"/>
      <c r="D305" s="107"/>
      <c r="E305" s="108"/>
      <c r="F305" s="88"/>
      <c r="G305" s="109"/>
    </row>
    <row r="306" spans="1:8" ht="15" x14ac:dyDescent="0.25">
      <c r="A306" s="96"/>
      <c r="B306" s="97"/>
      <c r="C306" s="99"/>
      <c r="D306" s="98"/>
      <c r="E306" s="99"/>
      <c r="F306" s="101"/>
      <c r="G306" s="116"/>
    </row>
    <row r="307" spans="1:8" ht="15" x14ac:dyDescent="0.25">
      <c r="A307" s="58"/>
      <c r="B307" s="54"/>
      <c r="C307" s="55"/>
      <c r="D307" s="130"/>
      <c r="E307" s="117"/>
      <c r="F307" s="117" t="s">
        <v>121</v>
      </c>
      <c r="G307" s="118">
        <f>+SUM(G304:G306)</f>
        <v>16179.1872</v>
      </c>
    </row>
    <row r="308" spans="1:8" ht="15" x14ac:dyDescent="0.25">
      <c r="A308" s="53" t="s">
        <v>135</v>
      </c>
      <c r="B308" s="54"/>
      <c r="C308" s="55"/>
      <c r="D308" s="54"/>
      <c r="E308" s="56"/>
      <c r="F308" s="54"/>
      <c r="G308" s="57"/>
    </row>
    <row r="309" spans="1:8" ht="15" x14ac:dyDescent="0.25">
      <c r="A309" s="58"/>
      <c r="B309" s="54"/>
      <c r="C309" s="55"/>
      <c r="D309" s="54"/>
      <c r="E309" s="56"/>
      <c r="F309" s="54"/>
      <c r="G309" s="57"/>
    </row>
    <row r="310" spans="1:8" ht="15" x14ac:dyDescent="0.25">
      <c r="A310" s="1302" t="s">
        <v>116</v>
      </c>
      <c r="B310" s="1303"/>
      <c r="C310" s="82" t="s">
        <v>117</v>
      </c>
      <c r="D310" s="81" t="s">
        <v>136</v>
      </c>
      <c r="E310" s="82" t="s">
        <v>39</v>
      </c>
      <c r="F310" s="83" t="s">
        <v>126</v>
      </c>
      <c r="G310" s="84" t="s">
        <v>134</v>
      </c>
    </row>
    <row r="311" spans="1:8" ht="15" x14ac:dyDescent="0.25">
      <c r="A311" s="1318" t="s">
        <v>148</v>
      </c>
      <c r="B311" s="1319"/>
      <c r="C311" s="107" t="s">
        <v>15</v>
      </c>
      <c r="D311" s="108">
        <f>199000/7*1.3</f>
        <v>36957.142857142855</v>
      </c>
      <c r="E311" s="88">
        <v>1.3</v>
      </c>
      <c r="F311" s="115">
        <v>0.12</v>
      </c>
      <c r="G311" s="109">
        <f>D311*F311*E311</f>
        <v>5765.3142857142848</v>
      </c>
    </row>
    <row r="312" spans="1:8" ht="15" x14ac:dyDescent="0.25">
      <c r="A312" s="58"/>
      <c r="B312" s="111"/>
      <c r="C312" s="112"/>
      <c r="D312" s="113"/>
      <c r="E312" s="112"/>
      <c r="F312" s="114"/>
      <c r="G312" s="115"/>
    </row>
    <row r="313" spans="1:8" ht="15" x14ac:dyDescent="0.25">
      <c r="A313" s="96"/>
      <c r="B313" s="97"/>
      <c r="C313" s="99"/>
      <c r="D313" s="98"/>
      <c r="E313" s="99"/>
      <c r="F313" s="101"/>
      <c r="G313" s="116"/>
    </row>
    <row r="314" spans="1:8" ht="15" x14ac:dyDescent="0.25">
      <c r="A314" s="58"/>
      <c r="B314" s="54"/>
      <c r="C314" s="55"/>
      <c r="D314" s="130"/>
      <c r="E314" s="117"/>
      <c r="F314" s="117" t="s">
        <v>121</v>
      </c>
      <c r="G314" s="118">
        <f>+SUM(G311:G313)</f>
        <v>5765.3142857142848</v>
      </c>
    </row>
    <row r="315" spans="1:8" ht="15" x14ac:dyDescent="0.25">
      <c r="A315" s="58"/>
      <c r="B315" s="54"/>
      <c r="C315" s="55"/>
      <c r="D315" s="54"/>
      <c r="E315" s="56"/>
      <c r="F315" s="54"/>
      <c r="G315" s="119"/>
    </row>
    <row r="316" spans="1:8" ht="15" x14ac:dyDescent="0.25">
      <c r="A316" s="120"/>
      <c r="B316" s="121"/>
      <c r="C316" s="121"/>
      <c r="D316" s="121"/>
      <c r="E316" s="123"/>
      <c r="F316" s="124" t="s">
        <v>137</v>
      </c>
      <c r="G316" s="125">
        <f>+ROUND(G291+G300+G307+G314,0)</f>
        <v>65803</v>
      </c>
      <c r="H316" s="46">
        <v>65805</v>
      </c>
    </row>
    <row r="318" spans="1:8" ht="15" x14ac:dyDescent="0.25">
      <c r="A318" s="50" t="s">
        <v>114</v>
      </c>
      <c r="B318" s="1320" t="s">
        <v>1</v>
      </c>
      <c r="C318" s="1321"/>
      <c r="D318" s="1321"/>
      <c r="E318" s="1321"/>
      <c r="F318" s="1321"/>
    </row>
    <row r="319" spans="1:8" ht="15" customHeight="1" x14ac:dyDescent="0.25">
      <c r="A319" s="1054">
        <f>'FORMATO PROPUESTA ECONÓMICA'!A22</f>
        <v>3.5</v>
      </c>
      <c r="B319" s="1315" t="str">
        <f>'FORMATO PROPUESTA ECONÓMICA'!B22</f>
        <v>Lleno y apisonado de zanjas y apiques con subbase granular</v>
      </c>
      <c r="C319" s="1285"/>
      <c r="D319" s="1285"/>
      <c r="E319" s="1285"/>
      <c r="F319" s="1286"/>
      <c r="G319" s="561" t="str">
        <f>'FORMATO PROPUESTA ECONÓMICA'!C22</f>
        <v>m3</v>
      </c>
    </row>
    <row r="320" spans="1:8" ht="15" x14ac:dyDescent="0.25">
      <c r="A320" s="53" t="s">
        <v>115</v>
      </c>
      <c r="B320" s="54"/>
      <c r="C320" s="55"/>
      <c r="D320" s="54"/>
      <c r="E320" s="56"/>
      <c r="F320" s="54"/>
      <c r="G320" s="57"/>
    </row>
    <row r="321" spans="1:7" ht="15" x14ac:dyDescent="0.25">
      <c r="A321" s="58"/>
      <c r="B321" s="54"/>
      <c r="C321" s="55"/>
      <c r="D321" s="54"/>
      <c r="E321" s="56"/>
      <c r="F321" s="54"/>
      <c r="G321" s="57"/>
    </row>
    <row r="322" spans="1:7" ht="15" x14ac:dyDescent="0.25">
      <c r="A322" s="1304" t="s">
        <v>116</v>
      </c>
      <c r="B322" s="1305"/>
      <c r="C322" s="59" t="s">
        <v>117</v>
      </c>
      <c r="D322" s="1085" t="s">
        <v>118</v>
      </c>
      <c r="E322" s="60" t="s">
        <v>39</v>
      </c>
      <c r="F322" s="1085" t="s">
        <v>119</v>
      </c>
      <c r="G322" s="61" t="s">
        <v>120</v>
      </c>
    </row>
    <row r="323" spans="1:7" ht="15" customHeight="1" x14ac:dyDescent="0.25">
      <c r="A323" s="1322" t="s">
        <v>149</v>
      </c>
      <c r="B323" s="1323"/>
      <c r="C323" s="62" t="s">
        <v>15</v>
      </c>
      <c r="D323" s="140">
        <v>60000</v>
      </c>
      <c r="E323" s="64">
        <v>1.25</v>
      </c>
      <c r="F323" s="65"/>
      <c r="G323" s="66">
        <f>E323*D323</f>
        <v>75000</v>
      </c>
    </row>
    <row r="324" spans="1:7" ht="15" x14ac:dyDescent="0.25">
      <c r="A324" s="1254"/>
      <c r="B324" s="1255"/>
      <c r="C324" s="67"/>
      <c r="D324" s="68"/>
      <c r="E324" s="69"/>
      <c r="F324" s="129"/>
      <c r="G324" s="71">
        <f>D324*E324</f>
        <v>0</v>
      </c>
    </row>
    <row r="325" spans="1:7" ht="15" x14ac:dyDescent="0.25">
      <c r="A325" s="1308"/>
      <c r="B325" s="1309"/>
      <c r="C325" s="67"/>
      <c r="D325" s="68"/>
      <c r="E325" s="69"/>
      <c r="F325" s="129"/>
      <c r="G325" s="71">
        <f>E325*D325</f>
        <v>0</v>
      </c>
    </row>
    <row r="326" spans="1:7" ht="15" x14ac:dyDescent="0.25">
      <c r="A326" s="1310"/>
      <c r="B326" s="1311"/>
      <c r="C326" s="72"/>
      <c r="D326" s="73"/>
      <c r="E326" s="74"/>
      <c r="F326" s="75"/>
      <c r="G326" s="76"/>
    </row>
    <row r="327" spans="1:7" ht="15" x14ac:dyDescent="0.25">
      <c r="A327" s="1061"/>
      <c r="B327" s="77"/>
      <c r="C327" s="55"/>
      <c r="D327" s="54"/>
      <c r="E327" s="130"/>
      <c r="F327" s="79" t="s">
        <v>121</v>
      </c>
      <c r="G327" s="80">
        <f>+SUM(G323:G326)</f>
        <v>75000</v>
      </c>
    </row>
    <row r="328" spans="1:7" ht="15" x14ac:dyDescent="0.25">
      <c r="A328" s="53" t="s">
        <v>122</v>
      </c>
      <c r="B328" s="54"/>
      <c r="C328" s="55" t="s">
        <v>123</v>
      </c>
      <c r="D328" s="54"/>
      <c r="E328" s="56"/>
      <c r="F328" s="54"/>
      <c r="G328" s="57"/>
    </row>
    <row r="329" spans="1:7" ht="15" x14ac:dyDescent="0.25">
      <c r="A329" s="58"/>
      <c r="B329" s="54"/>
      <c r="C329" s="55"/>
      <c r="D329" s="54"/>
      <c r="E329" s="56"/>
      <c r="F329" s="54"/>
      <c r="G329" s="57"/>
    </row>
    <row r="330" spans="1:7" ht="15" x14ac:dyDescent="0.25">
      <c r="A330" s="1302" t="s">
        <v>116</v>
      </c>
      <c r="B330" s="1303"/>
      <c r="C330" s="81" t="s">
        <v>117</v>
      </c>
      <c r="D330" s="82" t="s">
        <v>124</v>
      </c>
      <c r="E330" s="82" t="s">
        <v>125</v>
      </c>
      <c r="F330" s="83" t="s">
        <v>126</v>
      </c>
      <c r="G330" s="84" t="s">
        <v>120</v>
      </c>
    </row>
    <row r="331" spans="1:7" ht="15" customHeight="1" x14ac:dyDescent="0.25">
      <c r="A331" s="1287" t="s">
        <v>127</v>
      </c>
      <c r="B331" s="1288"/>
      <c r="C331" s="85" t="s">
        <v>128</v>
      </c>
      <c r="D331" s="86"/>
      <c r="E331" s="87"/>
      <c r="F331" s="88"/>
      <c r="G331" s="89">
        <f>G343*0.05</f>
        <v>244.181625</v>
      </c>
    </row>
    <row r="332" spans="1:7" ht="15" customHeight="1" x14ac:dyDescent="0.25">
      <c r="A332" s="1316" t="s">
        <v>141</v>
      </c>
      <c r="B332" s="1317"/>
      <c r="C332" s="90" t="s">
        <v>11</v>
      </c>
      <c r="D332" s="91">
        <f>110000*1.16</f>
        <v>127599.99999999999</v>
      </c>
      <c r="E332" s="92"/>
      <c r="F332" s="93">
        <v>0.125</v>
      </c>
      <c r="G332" s="89">
        <f>F332*D332</f>
        <v>15949.999999999998</v>
      </c>
    </row>
    <row r="333" spans="1:7" ht="15" x14ac:dyDescent="0.25">
      <c r="A333" s="1312" t="s">
        <v>142</v>
      </c>
      <c r="B333" s="1313"/>
      <c r="C333" s="90" t="s">
        <v>8</v>
      </c>
      <c r="D333" s="131">
        <f>7250*8</f>
        <v>58000</v>
      </c>
      <c r="E333" s="138"/>
      <c r="F333" s="88">
        <f>+F332</f>
        <v>0.125</v>
      </c>
      <c r="G333" s="89">
        <f>F333*D333</f>
        <v>7250</v>
      </c>
    </row>
    <row r="334" spans="1:7" ht="15" x14ac:dyDescent="0.25">
      <c r="A334" s="58"/>
      <c r="B334" s="111"/>
      <c r="C334" s="113"/>
      <c r="D334" s="131"/>
      <c r="E334" s="132"/>
      <c r="F334" s="88"/>
      <c r="G334" s="133"/>
    </row>
    <row r="335" spans="1:7" ht="15" x14ac:dyDescent="0.25">
      <c r="A335" s="96"/>
      <c r="B335" s="97"/>
      <c r="C335" s="98"/>
      <c r="D335" s="99"/>
      <c r="E335" s="100"/>
      <c r="F335" s="101"/>
      <c r="G335" s="102"/>
    </row>
    <row r="336" spans="1:7" ht="15" x14ac:dyDescent="0.25">
      <c r="A336" s="58"/>
      <c r="B336" s="54"/>
      <c r="C336" s="55"/>
      <c r="D336" s="54"/>
      <c r="E336" s="130"/>
      <c r="F336" s="103" t="s">
        <v>121</v>
      </c>
      <c r="G336" s="104">
        <f>+SUM(G331:G335)</f>
        <v>23444.181624999997</v>
      </c>
    </row>
    <row r="337" spans="1:7" ht="15" x14ac:dyDescent="0.25">
      <c r="A337" s="53" t="s">
        <v>130</v>
      </c>
      <c r="B337" s="54"/>
      <c r="C337" s="55"/>
      <c r="D337" s="54"/>
      <c r="E337" s="56"/>
      <c r="F337" s="54"/>
      <c r="G337" s="57"/>
    </row>
    <row r="338" spans="1:7" ht="15" x14ac:dyDescent="0.25">
      <c r="A338" s="58"/>
      <c r="B338" s="54"/>
      <c r="C338" s="55"/>
      <c r="D338" s="54"/>
      <c r="E338" s="56"/>
      <c r="F338" s="54"/>
      <c r="G338" s="57"/>
    </row>
    <row r="339" spans="1:7" ht="15" x14ac:dyDescent="0.25">
      <c r="A339" s="1302" t="s">
        <v>116</v>
      </c>
      <c r="B339" s="1303"/>
      <c r="C339" s="82" t="s">
        <v>131</v>
      </c>
      <c r="D339" s="81" t="s">
        <v>132</v>
      </c>
      <c r="E339" s="82" t="s">
        <v>133</v>
      </c>
      <c r="F339" s="83" t="s">
        <v>126</v>
      </c>
      <c r="G339" s="84" t="s">
        <v>134</v>
      </c>
    </row>
    <row r="340" spans="1:7" ht="15" x14ac:dyDescent="0.25">
      <c r="A340" s="58" t="s">
        <v>10</v>
      </c>
      <c r="B340" s="135"/>
      <c r="C340" s="106">
        <f>M2*3</f>
        <v>68945.399999999994</v>
      </c>
      <c r="D340" s="107">
        <v>1.7</v>
      </c>
      <c r="E340" s="108">
        <f>C340*D340</f>
        <v>117207.18</v>
      </c>
      <c r="F340" s="88">
        <f>+F332/3</f>
        <v>4.1666666666666664E-2</v>
      </c>
      <c r="G340" s="109">
        <f>F340*E340</f>
        <v>4883.6324999999997</v>
      </c>
    </row>
    <row r="341" spans="1:7" ht="15" x14ac:dyDescent="0.25">
      <c r="A341" s="58"/>
      <c r="B341" s="136"/>
      <c r="C341" s="106"/>
      <c r="D341" s="107"/>
      <c r="E341" s="108"/>
      <c r="F341" s="88"/>
      <c r="G341" s="109"/>
    </row>
    <row r="342" spans="1:7" ht="5.25" customHeight="1" x14ac:dyDescent="0.25">
      <c r="A342" s="96"/>
      <c r="B342" s="97"/>
      <c r="C342" s="99"/>
      <c r="D342" s="98"/>
      <c r="E342" s="99"/>
      <c r="F342" s="101"/>
      <c r="G342" s="116"/>
    </row>
    <row r="343" spans="1:7" ht="15" x14ac:dyDescent="0.25">
      <c r="A343" s="58"/>
      <c r="B343" s="54"/>
      <c r="C343" s="55"/>
      <c r="D343" s="130"/>
      <c r="E343" s="117"/>
      <c r="F343" s="117" t="s">
        <v>121</v>
      </c>
      <c r="G343" s="118">
        <f>+SUM(G340:G342)</f>
        <v>4883.6324999999997</v>
      </c>
    </row>
    <row r="344" spans="1:7" ht="15" x14ac:dyDescent="0.25">
      <c r="A344" s="53" t="s">
        <v>135</v>
      </c>
      <c r="B344" s="54"/>
      <c r="C344" s="55"/>
      <c r="D344" s="54"/>
      <c r="E344" s="56"/>
      <c r="F344" s="54"/>
      <c r="G344" s="57"/>
    </row>
    <row r="345" spans="1:7" ht="15" x14ac:dyDescent="0.25">
      <c r="A345" s="58"/>
      <c r="B345" s="54"/>
      <c r="C345" s="55"/>
      <c r="D345" s="54"/>
      <c r="E345" s="56"/>
      <c r="F345" s="54"/>
      <c r="G345" s="57"/>
    </row>
    <row r="346" spans="1:7" ht="15" x14ac:dyDescent="0.25">
      <c r="A346" s="1302" t="s">
        <v>116</v>
      </c>
      <c r="B346" s="1303"/>
      <c r="C346" s="82" t="s">
        <v>117</v>
      </c>
      <c r="D346" s="81" t="s">
        <v>136</v>
      </c>
      <c r="E346" s="82" t="s">
        <v>124</v>
      </c>
      <c r="F346" s="83" t="s">
        <v>126</v>
      </c>
      <c r="G346" s="84" t="s">
        <v>134</v>
      </c>
    </row>
    <row r="347" spans="1:7" ht="15" x14ac:dyDescent="0.25">
      <c r="A347" s="1318" t="s">
        <v>148</v>
      </c>
      <c r="B347" s="1319"/>
      <c r="C347" s="106" t="s">
        <v>15</v>
      </c>
      <c r="D347" s="107"/>
      <c r="E347" s="108">
        <f>140000/7</f>
        <v>20000</v>
      </c>
      <c r="F347" s="88">
        <v>1</v>
      </c>
      <c r="G347" s="109">
        <f>F347*E347</f>
        <v>20000</v>
      </c>
    </row>
    <row r="348" spans="1:7" ht="15" x14ac:dyDescent="0.25">
      <c r="A348" s="58"/>
      <c r="B348" s="111"/>
      <c r="C348" s="112"/>
      <c r="D348" s="112"/>
      <c r="E348" s="112"/>
      <c r="F348" s="114"/>
      <c r="G348" s="115"/>
    </row>
    <row r="349" spans="1:7" ht="14.25" customHeight="1" x14ac:dyDescent="0.25">
      <c r="A349" s="96"/>
      <c r="B349" s="97"/>
      <c r="C349" s="99"/>
      <c r="D349" s="98"/>
      <c r="E349" s="99"/>
      <c r="F349" s="101"/>
      <c r="G349" s="116"/>
    </row>
    <row r="350" spans="1:7" ht="15" x14ac:dyDescent="0.25">
      <c r="A350" s="58"/>
      <c r="B350" s="54"/>
      <c r="C350" s="55"/>
      <c r="D350" s="130"/>
      <c r="E350" s="117"/>
      <c r="F350" s="117" t="s">
        <v>121</v>
      </c>
      <c r="G350" s="118">
        <f>+SUM(G347:G349)</f>
        <v>20000</v>
      </c>
    </row>
    <row r="351" spans="1:7" ht="15" x14ac:dyDescent="0.25">
      <c r="A351" s="58"/>
      <c r="B351" s="54"/>
      <c r="C351" s="55"/>
      <c r="D351" s="54"/>
      <c r="E351" s="56"/>
      <c r="F351" s="54"/>
      <c r="G351" s="119"/>
    </row>
    <row r="352" spans="1:7" ht="15" x14ac:dyDescent="0.25">
      <c r="A352" s="120"/>
      <c r="B352" s="121"/>
      <c r="C352" s="121"/>
      <c r="D352" s="121"/>
      <c r="E352" s="123"/>
      <c r="F352" s="124" t="s">
        <v>137</v>
      </c>
      <c r="G352" s="125">
        <f>+ROUND(G327+G336+G343+G350,0)</f>
        <v>123328</v>
      </c>
    </row>
    <row r="353" spans="1:7" ht="15" x14ac:dyDescent="0.25">
      <c r="A353" s="58"/>
      <c r="B353" s="121"/>
      <c r="C353" s="121"/>
      <c r="D353" s="121"/>
      <c r="E353" s="123"/>
      <c r="F353" s="124"/>
      <c r="G353" s="124"/>
    </row>
    <row r="354" spans="1:7" ht="15" x14ac:dyDescent="0.25">
      <c r="A354" s="644" t="s">
        <v>114</v>
      </c>
      <c r="B354" s="1368" t="s">
        <v>1</v>
      </c>
      <c r="C354" s="1369"/>
      <c r="D354" s="1369"/>
      <c r="E354" s="1369"/>
      <c r="F354" s="1369"/>
      <c r="G354" s="645"/>
    </row>
    <row r="355" spans="1:7" ht="15" x14ac:dyDescent="0.25">
      <c r="A355" s="1057">
        <f>'FORMATO PROPUESTA ECONÓMICA'!A23</f>
        <v>3.6</v>
      </c>
      <c r="B355" s="1277" t="str">
        <f>'FORMATO PROPUESTA ECONÓMICA'!B23</f>
        <v>S.T.C. de lleno con Triturado</v>
      </c>
      <c r="C355" s="1278"/>
      <c r="D355" s="1278"/>
      <c r="E355" s="1278"/>
      <c r="F355" s="1279"/>
      <c r="G355" s="33" t="str">
        <f>'FORMATO PROPUESTA ECONÓMICA'!C23</f>
        <v>m3</v>
      </c>
    </row>
    <row r="356" spans="1:7" ht="15" x14ac:dyDescent="0.25">
      <c r="A356" s="646" t="s">
        <v>115</v>
      </c>
      <c r="B356" s="54"/>
      <c r="C356" s="55"/>
      <c r="D356" s="54"/>
      <c r="E356" s="56"/>
      <c r="F356" s="647"/>
      <c r="G356" s="57"/>
    </row>
    <row r="357" spans="1:7" ht="15" x14ac:dyDescent="0.25">
      <c r="A357" s="58"/>
      <c r="B357" s="54"/>
      <c r="C357" s="55"/>
      <c r="D357" s="54"/>
      <c r="E357" s="56"/>
      <c r="F357" s="647"/>
      <c r="G357" s="57"/>
    </row>
    <row r="358" spans="1:7" ht="15" x14ac:dyDescent="0.25">
      <c r="A358" s="1370" t="s">
        <v>116</v>
      </c>
      <c r="B358" s="1371"/>
      <c r="C358" s="648" t="s">
        <v>117</v>
      </c>
      <c r="D358" s="1062" t="s">
        <v>118</v>
      </c>
      <c r="E358" s="157" t="s">
        <v>39</v>
      </c>
      <c r="F358" s="1062" t="s">
        <v>119</v>
      </c>
      <c r="G358" s="649" t="s">
        <v>120</v>
      </c>
    </row>
    <row r="359" spans="1:7" ht="15" x14ac:dyDescent="0.25">
      <c r="A359" s="1322" t="s">
        <v>442</v>
      </c>
      <c r="B359" s="1323"/>
      <c r="C359" s="650" t="s">
        <v>15</v>
      </c>
      <c r="D359" s="651">
        <v>36000</v>
      </c>
      <c r="E359" s="652">
        <v>1.1000000000000001</v>
      </c>
      <c r="F359" s="653"/>
      <c r="G359" s="654">
        <f>E359*D359</f>
        <v>39600</v>
      </c>
    </row>
    <row r="360" spans="1:7" ht="15" x14ac:dyDescent="0.25">
      <c r="A360" s="1254"/>
      <c r="B360" s="1255"/>
      <c r="C360" s="655"/>
      <c r="D360" s="656"/>
      <c r="E360" s="657"/>
      <c r="F360" s="658"/>
      <c r="G360" s="659">
        <f>D360*E360</f>
        <v>0</v>
      </c>
    </row>
    <row r="361" spans="1:7" ht="15" x14ac:dyDescent="0.25">
      <c r="A361" s="1308"/>
      <c r="B361" s="1309"/>
      <c r="C361" s="655"/>
      <c r="D361" s="656"/>
      <c r="E361" s="657"/>
      <c r="F361" s="658"/>
      <c r="G361" s="659">
        <f>E361*D361</f>
        <v>0</v>
      </c>
    </row>
    <row r="362" spans="1:7" ht="15" x14ac:dyDescent="0.25">
      <c r="A362" s="1310"/>
      <c r="B362" s="1311"/>
      <c r="C362" s="660"/>
      <c r="D362" s="661"/>
      <c r="E362" s="662"/>
      <c r="F362" s="663"/>
      <c r="G362" s="664"/>
    </row>
    <row r="363" spans="1:7" ht="15" x14ac:dyDescent="0.25">
      <c r="A363" s="1061"/>
      <c r="B363" s="77"/>
      <c r="C363" s="55"/>
      <c r="D363" s="54"/>
      <c r="E363" s="130"/>
      <c r="F363" s="665" t="s">
        <v>121</v>
      </c>
      <c r="G363" s="666">
        <f>+SUM(G359:G362)</f>
        <v>39600</v>
      </c>
    </row>
    <row r="364" spans="1:7" ht="15" x14ac:dyDescent="0.25">
      <c r="A364" s="646" t="s">
        <v>122</v>
      </c>
      <c r="B364" s="54"/>
      <c r="C364" s="55" t="s">
        <v>123</v>
      </c>
      <c r="D364" s="54"/>
      <c r="E364" s="56"/>
      <c r="F364" s="647"/>
      <c r="G364" s="57"/>
    </row>
    <row r="365" spans="1:7" ht="15" x14ac:dyDescent="0.25">
      <c r="A365" s="58"/>
      <c r="B365" s="54"/>
      <c r="C365" s="55"/>
      <c r="D365" s="54"/>
      <c r="E365" s="56"/>
      <c r="F365" s="647"/>
      <c r="G365" s="57"/>
    </row>
    <row r="366" spans="1:7" ht="15" x14ac:dyDescent="0.25">
      <c r="A366" s="1372" t="s">
        <v>116</v>
      </c>
      <c r="B366" s="1373"/>
      <c r="C366" s="667" t="s">
        <v>117</v>
      </c>
      <c r="D366" s="668" t="s">
        <v>124</v>
      </c>
      <c r="E366" s="668" t="s">
        <v>125</v>
      </c>
      <c r="F366" s="669" t="s">
        <v>126</v>
      </c>
      <c r="G366" s="670" t="s">
        <v>120</v>
      </c>
    </row>
    <row r="367" spans="1:7" ht="15" x14ac:dyDescent="0.25">
      <c r="A367" s="1287" t="s">
        <v>127</v>
      </c>
      <c r="B367" s="1288"/>
      <c r="C367" s="671" t="s">
        <v>128</v>
      </c>
      <c r="D367" s="672"/>
      <c r="E367" s="673"/>
      <c r="F367" s="674"/>
      <c r="G367" s="675">
        <f>G379*0.05</f>
        <v>84.649630000000002</v>
      </c>
    </row>
    <row r="368" spans="1:7" ht="15" x14ac:dyDescent="0.25">
      <c r="A368" s="1316" t="s">
        <v>443</v>
      </c>
      <c r="B368" s="1317"/>
      <c r="C368" s="676" t="s">
        <v>11</v>
      </c>
      <c r="D368" s="677">
        <v>55000</v>
      </c>
      <c r="E368" s="678"/>
      <c r="F368" s="679">
        <v>0.13</v>
      </c>
      <c r="G368" s="675">
        <f>F368*D368</f>
        <v>7150</v>
      </c>
    </row>
    <row r="369" spans="1:7" ht="15" x14ac:dyDescent="0.25">
      <c r="A369" s="1312" t="s">
        <v>142</v>
      </c>
      <c r="B369" s="1313"/>
      <c r="C369" s="676" t="s">
        <v>8</v>
      </c>
      <c r="D369" s="680">
        <v>60000</v>
      </c>
      <c r="E369" s="681"/>
      <c r="F369" s="674">
        <f>+F368</f>
        <v>0.13</v>
      </c>
      <c r="G369" s="675">
        <f>F369*D369</f>
        <v>7800</v>
      </c>
    </row>
    <row r="370" spans="1:7" ht="15" x14ac:dyDescent="0.25">
      <c r="A370" s="58"/>
      <c r="B370" s="682"/>
      <c r="C370" s="683"/>
      <c r="D370" s="680"/>
      <c r="E370" s="684"/>
      <c r="F370" s="674"/>
      <c r="G370" s="685"/>
    </row>
    <row r="371" spans="1:7" ht="15" x14ac:dyDescent="0.25">
      <c r="A371" s="96"/>
      <c r="B371" s="686"/>
      <c r="C371" s="687"/>
      <c r="D371" s="688"/>
      <c r="E371" s="689"/>
      <c r="F371" s="690"/>
      <c r="G371" s="691"/>
    </row>
    <row r="372" spans="1:7" ht="15" x14ac:dyDescent="0.25">
      <c r="A372" s="58"/>
      <c r="B372" s="647"/>
      <c r="C372" s="692"/>
      <c r="D372" s="647"/>
      <c r="E372" s="130"/>
      <c r="F372" s="693" t="s">
        <v>121</v>
      </c>
      <c r="G372" s="177">
        <f>+SUM(G367:G371)</f>
        <v>15034.64963</v>
      </c>
    </row>
    <row r="373" spans="1:7" ht="15" x14ac:dyDescent="0.25">
      <c r="A373" s="646" t="s">
        <v>130</v>
      </c>
      <c r="B373" s="54"/>
      <c r="C373" s="55"/>
      <c r="D373" s="54"/>
      <c r="E373" s="56"/>
      <c r="F373" s="647"/>
      <c r="G373" s="57"/>
    </row>
    <row r="374" spans="1:7" ht="15" x14ac:dyDescent="0.25">
      <c r="A374" s="58"/>
      <c r="B374" s="54"/>
      <c r="C374" s="55"/>
      <c r="D374" s="54"/>
      <c r="E374" s="56"/>
      <c r="F374" s="647"/>
      <c r="G374" s="57"/>
    </row>
    <row r="375" spans="1:7" ht="15" x14ac:dyDescent="0.25">
      <c r="A375" s="1372" t="s">
        <v>116</v>
      </c>
      <c r="B375" s="1373"/>
      <c r="C375" s="668" t="s">
        <v>131</v>
      </c>
      <c r="D375" s="667" t="s">
        <v>132</v>
      </c>
      <c r="E375" s="668" t="s">
        <v>133</v>
      </c>
      <c r="F375" s="669" t="s">
        <v>126</v>
      </c>
      <c r="G375" s="670" t="s">
        <v>134</v>
      </c>
    </row>
    <row r="376" spans="1:7" ht="15" x14ac:dyDescent="0.25">
      <c r="A376" s="58" t="s">
        <v>10</v>
      </c>
      <c r="B376" s="694"/>
      <c r="C376" s="695">
        <f>M2</f>
        <v>22981.8</v>
      </c>
      <c r="D376" s="696">
        <v>1.7</v>
      </c>
      <c r="E376" s="697">
        <f>C376*D376</f>
        <v>39069.06</v>
      </c>
      <c r="F376" s="674">
        <f>+F368/3</f>
        <v>4.3333333333333335E-2</v>
      </c>
      <c r="G376" s="698">
        <f>F376*E376</f>
        <v>1692.9926</v>
      </c>
    </row>
    <row r="377" spans="1:7" ht="15" x14ac:dyDescent="0.25">
      <c r="A377" s="58"/>
      <c r="B377" s="699"/>
      <c r="C377" s="695"/>
      <c r="D377" s="696"/>
      <c r="E377" s="697"/>
      <c r="F377" s="674"/>
      <c r="G377" s="698"/>
    </row>
    <row r="378" spans="1:7" ht="15" x14ac:dyDescent="0.25">
      <c r="A378" s="96"/>
      <c r="B378" s="686"/>
      <c r="C378" s="688"/>
      <c r="D378" s="687"/>
      <c r="E378" s="688"/>
      <c r="F378" s="690"/>
      <c r="G378" s="700"/>
    </row>
    <row r="379" spans="1:7" ht="15" x14ac:dyDescent="0.25">
      <c r="A379" s="58"/>
      <c r="B379" s="54"/>
      <c r="C379" s="55"/>
      <c r="D379" s="130"/>
      <c r="E379" s="701"/>
      <c r="F379" s="701" t="s">
        <v>121</v>
      </c>
      <c r="G379" s="702">
        <f>+SUM(G376:G378)</f>
        <v>1692.9926</v>
      </c>
    </row>
    <row r="380" spans="1:7" ht="15" x14ac:dyDescent="0.25">
      <c r="A380" s="646" t="s">
        <v>135</v>
      </c>
      <c r="B380" s="54"/>
      <c r="C380" s="55"/>
      <c r="D380" s="54"/>
      <c r="E380" s="56"/>
      <c r="F380" s="647"/>
      <c r="G380" s="57"/>
    </row>
    <row r="381" spans="1:7" ht="15" x14ac:dyDescent="0.25">
      <c r="A381" s="58"/>
      <c r="B381" s="54"/>
      <c r="C381" s="55"/>
      <c r="D381" s="54"/>
      <c r="E381" s="56"/>
      <c r="F381" s="647"/>
      <c r="G381" s="57"/>
    </row>
    <row r="382" spans="1:7" ht="15" x14ac:dyDescent="0.25">
      <c r="A382" s="1372" t="s">
        <v>116</v>
      </c>
      <c r="B382" s="1373"/>
      <c r="C382" s="668" t="s">
        <v>117</v>
      </c>
      <c r="D382" s="667" t="s">
        <v>136</v>
      </c>
      <c r="E382" s="668" t="s">
        <v>124</v>
      </c>
      <c r="F382" s="669" t="s">
        <v>126</v>
      </c>
      <c r="G382" s="670" t="s">
        <v>134</v>
      </c>
    </row>
    <row r="383" spans="1:7" ht="15" x14ac:dyDescent="0.25">
      <c r="A383" s="1376" t="s">
        <v>148</v>
      </c>
      <c r="B383" s="1377"/>
      <c r="C383" s="695" t="s">
        <v>15</v>
      </c>
      <c r="D383" s="696"/>
      <c r="E383" s="697">
        <f>125000/6</f>
        <v>20833.333333333332</v>
      </c>
      <c r="F383" s="674">
        <v>1</v>
      </c>
      <c r="G383" s="698">
        <f>F383*E383</f>
        <v>20833.333333333332</v>
      </c>
    </row>
    <row r="384" spans="1:7" ht="15" x14ac:dyDescent="0.25">
      <c r="A384" s="58"/>
      <c r="B384" s="682"/>
      <c r="C384" s="703"/>
      <c r="D384" s="683"/>
      <c r="E384" s="703"/>
      <c r="F384" s="704"/>
      <c r="G384" s="705"/>
    </row>
    <row r="385" spans="1:7" ht="15" x14ac:dyDescent="0.25">
      <c r="A385" s="96"/>
      <c r="B385" s="686"/>
      <c r="C385" s="688"/>
      <c r="D385" s="687"/>
      <c r="E385" s="688"/>
      <c r="F385" s="690"/>
      <c r="G385" s="700"/>
    </row>
    <row r="386" spans="1:7" ht="15" x14ac:dyDescent="0.25">
      <c r="A386" s="58"/>
      <c r="B386" s="54"/>
      <c r="C386" s="55"/>
      <c r="D386" s="130"/>
      <c r="E386" s="701"/>
      <c r="F386" s="701" t="s">
        <v>121</v>
      </c>
      <c r="G386" s="702">
        <f>+SUM(G383:G385)</f>
        <v>20833.333333333332</v>
      </c>
    </row>
    <row r="387" spans="1:7" ht="15" x14ac:dyDescent="0.25">
      <c r="A387" s="58"/>
      <c r="B387" s="54"/>
      <c r="C387" s="55"/>
      <c r="D387" s="54"/>
      <c r="E387" s="56"/>
      <c r="F387" s="647"/>
      <c r="G387" s="706"/>
    </row>
    <row r="388" spans="1:7" ht="15" x14ac:dyDescent="0.25">
      <c r="A388" s="120"/>
      <c r="B388" s="121"/>
      <c r="C388" s="121"/>
      <c r="D388" s="121"/>
      <c r="E388" s="123"/>
      <c r="F388" s="707" t="s">
        <v>137</v>
      </c>
      <c r="G388" s="185">
        <f>+ROUND(G363+G372+G379+G386,0)</f>
        <v>77161</v>
      </c>
    </row>
    <row r="389" spans="1:7" ht="15" x14ac:dyDescent="0.25">
      <c r="A389" s="58"/>
      <c r="B389" s="54"/>
      <c r="C389" s="55"/>
      <c r="D389" s="55"/>
      <c r="E389" s="55"/>
      <c r="F389" s="55"/>
      <c r="G389" s="55"/>
    </row>
    <row r="390" spans="1:7" ht="15" x14ac:dyDescent="0.25">
      <c r="A390" s="50" t="s">
        <v>114</v>
      </c>
      <c r="B390" s="1320" t="s">
        <v>1</v>
      </c>
      <c r="C390" s="1321"/>
      <c r="D390" s="1321"/>
      <c r="E390" s="1321"/>
      <c r="F390" s="1321"/>
    </row>
    <row r="391" spans="1:7" ht="15" customHeight="1" x14ac:dyDescent="0.25">
      <c r="A391" s="1054">
        <f>'FORMATO PROPUESTA ECONÓMICA'!A21</f>
        <v>3.4</v>
      </c>
      <c r="B391" s="1315" t="str">
        <f>'FORMATO PROPUESTA ECONÓMICA'!B21</f>
        <v>Lleno y apisonado de zanjas y apiques con base granular</v>
      </c>
      <c r="C391" s="1285"/>
      <c r="D391" s="1285"/>
      <c r="E391" s="1285"/>
      <c r="F391" s="1286"/>
      <c r="G391" s="561" t="str">
        <f>'FORMATO PROPUESTA ECONÓMICA'!C22</f>
        <v>m3</v>
      </c>
    </row>
    <row r="392" spans="1:7" ht="15" x14ac:dyDescent="0.25">
      <c r="A392" s="53" t="s">
        <v>115</v>
      </c>
      <c r="B392" s="54"/>
      <c r="C392" s="55"/>
      <c r="D392" s="54"/>
      <c r="E392" s="56"/>
      <c r="F392" s="54"/>
      <c r="G392" s="57"/>
    </row>
    <row r="393" spans="1:7" ht="15" x14ac:dyDescent="0.25">
      <c r="A393" s="58"/>
      <c r="B393" s="54"/>
      <c r="C393" s="55"/>
      <c r="D393" s="54"/>
      <c r="E393" s="56"/>
      <c r="F393" s="54"/>
      <c r="G393" s="57"/>
    </row>
    <row r="394" spans="1:7" ht="15" x14ac:dyDescent="0.25">
      <c r="A394" s="1304" t="s">
        <v>116</v>
      </c>
      <c r="B394" s="1305"/>
      <c r="C394" s="59" t="s">
        <v>117</v>
      </c>
      <c r="D394" s="1085" t="s">
        <v>118</v>
      </c>
      <c r="E394" s="60" t="s">
        <v>39</v>
      </c>
      <c r="F394" s="1085" t="s">
        <v>119</v>
      </c>
      <c r="G394" s="61" t="s">
        <v>120</v>
      </c>
    </row>
    <row r="395" spans="1:7" ht="15" customHeight="1" x14ac:dyDescent="0.25">
      <c r="A395" s="1322" t="s">
        <v>150</v>
      </c>
      <c r="B395" s="1323"/>
      <c r="C395" s="62" t="s">
        <v>15</v>
      </c>
      <c r="D395" s="140">
        <v>80000</v>
      </c>
      <c r="E395" s="64">
        <v>1.25</v>
      </c>
      <c r="F395" s="65"/>
      <c r="G395" s="66">
        <f>E395*D395</f>
        <v>100000</v>
      </c>
    </row>
    <row r="396" spans="1:7" ht="15" x14ac:dyDescent="0.25">
      <c r="A396" s="1254"/>
      <c r="B396" s="1255"/>
      <c r="C396" s="67"/>
      <c r="D396" s="68"/>
      <c r="E396" s="69"/>
      <c r="F396" s="129"/>
      <c r="G396" s="71">
        <f>D396*E396</f>
        <v>0</v>
      </c>
    </row>
    <row r="397" spans="1:7" ht="15" x14ac:dyDescent="0.25">
      <c r="A397" s="1308"/>
      <c r="B397" s="1309"/>
      <c r="C397" s="67"/>
      <c r="D397" s="68"/>
      <c r="E397" s="69"/>
      <c r="F397" s="129"/>
      <c r="G397" s="71">
        <f>E397*D397</f>
        <v>0</v>
      </c>
    </row>
    <row r="398" spans="1:7" ht="15" x14ac:dyDescent="0.25">
      <c r="A398" s="1310"/>
      <c r="B398" s="1311"/>
      <c r="C398" s="72"/>
      <c r="D398" s="73"/>
      <c r="E398" s="74"/>
      <c r="F398" s="75"/>
      <c r="G398" s="76"/>
    </row>
    <row r="399" spans="1:7" ht="15" x14ac:dyDescent="0.25">
      <c r="A399" s="1061"/>
      <c r="B399" s="77"/>
      <c r="C399" s="55"/>
      <c r="D399" s="54"/>
      <c r="E399" s="130"/>
      <c r="F399" s="79" t="s">
        <v>121</v>
      </c>
      <c r="G399" s="80">
        <f>+SUM(G395:G398)</f>
        <v>100000</v>
      </c>
    </row>
    <row r="400" spans="1:7" ht="15" x14ac:dyDescent="0.25">
      <c r="A400" s="53" t="s">
        <v>122</v>
      </c>
      <c r="B400" s="54"/>
      <c r="C400" s="55" t="s">
        <v>123</v>
      </c>
      <c r="D400" s="54"/>
      <c r="E400" s="56"/>
      <c r="F400" s="54"/>
      <c r="G400" s="57"/>
    </row>
    <row r="401" spans="1:7" ht="15" x14ac:dyDescent="0.25">
      <c r="A401" s="58"/>
      <c r="B401" s="54"/>
      <c r="C401" s="55"/>
      <c r="D401" s="54"/>
      <c r="E401" s="56"/>
      <c r="F401" s="54"/>
      <c r="G401" s="57"/>
    </row>
    <row r="402" spans="1:7" ht="15" x14ac:dyDescent="0.25">
      <c r="A402" s="1302" t="s">
        <v>116</v>
      </c>
      <c r="B402" s="1303"/>
      <c r="C402" s="81" t="s">
        <v>117</v>
      </c>
      <c r="D402" s="82" t="s">
        <v>124</v>
      </c>
      <c r="E402" s="82" t="s">
        <v>125</v>
      </c>
      <c r="F402" s="83" t="s">
        <v>126</v>
      </c>
      <c r="G402" s="84" t="s">
        <v>120</v>
      </c>
    </row>
    <row r="403" spans="1:7" ht="15" customHeight="1" x14ac:dyDescent="0.25">
      <c r="A403" s="1287" t="s">
        <v>127</v>
      </c>
      <c r="B403" s="1288"/>
      <c r="C403" s="85" t="s">
        <v>128</v>
      </c>
      <c r="D403" s="86"/>
      <c r="E403" s="87"/>
      <c r="F403" s="88"/>
      <c r="G403" s="89">
        <f>G415*0.05</f>
        <v>0</v>
      </c>
    </row>
    <row r="404" spans="1:7" ht="15" customHeight="1" x14ac:dyDescent="0.25">
      <c r="A404" s="1316" t="s">
        <v>141</v>
      </c>
      <c r="B404" s="1317"/>
      <c r="C404" s="90" t="s">
        <v>11</v>
      </c>
      <c r="D404" s="91">
        <f>110000*1.16</f>
        <v>127599.99999999999</v>
      </c>
      <c r="E404" s="92"/>
      <c r="F404" s="93">
        <v>0.125</v>
      </c>
      <c r="G404" s="89">
        <f>F404*D404</f>
        <v>15949.999999999998</v>
      </c>
    </row>
    <row r="405" spans="1:7" ht="15" x14ac:dyDescent="0.25">
      <c r="A405" s="1312" t="s">
        <v>142</v>
      </c>
      <c r="B405" s="1313"/>
      <c r="C405" s="90" t="s">
        <v>8</v>
      </c>
      <c r="D405" s="131">
        <f>7250*8</f>
        <v>58000</v>
      </c>
      <c r="E405" s="138"/>
      <c r="F405" s="88">
        <f>+F404</f>
        <v>0.125</v>
      </c>
      <c r="G405" s="89">
        <f>F405*D405</f>
        <v>7250</v>
      </c>
    </row>
    <row r="406" spans="1:7" ht="15" x14ac:dyDescent="0.25">
      <c r="A406" s="58"/>
      <c r="B406" s="111"/>
      <c r="C406" s="113"/>
      <c r="D406" s="131"/>
      <c r="E406" s="132"/>
      <c r="F406" s="88"/>
      <c r="G406" s="133"/>
    </row>
    <row r="407" spans="1:7" ht="15" x14ac:dyDescent="0.25">
      <c r="A407" s="96"/>
      <c r="B407" s="97"/>
      <c r="C407" s="98"/>
      <c r="D407" s="99"/>
      <c r="E407" s="100"/>
      <c r="F407" s="101"/>
      <c r="G407" s="102"/>
    </row>
    <row r="408" spans="1:7" ht="15" x14ac:dyDescent="0.25">
      <c r="A408" s="58"/>
      <c r="B408" s="54"/>
      <c r="C408" s="55"/>
      <c r="D408" s="54"/>
      <c r="E408" s="130"/>
      <c r="F408" s="103" t="s">
        <v>121</v>
      </c>
      <c r="G408" s="104">
        <f>+SUM(G403:G407)</f>
        <v>23200</v>
      </c>
    </row>
    <row r="409" spans="1:7" ht="15" x14ac:dyDescent="0.25">
      <c r="A409" s="53" t="s">
        <v>130</v>
      </c>
      <c r="B409" s="54"/>
      <c r="C409" s="55"/>
      <c r="D409" s="54"/>
      <c r="E409" s="56"/>
      <c r="F409" s="54"/>
      <c r="G409" s="57"/>
    </row>
    <row r="410" spans="1:7" ht="15" x14ac:dyDescent="0.25">
      <c r="A410" s="58"/>
      <c r="B410" s="54"/>
      <c r="C410" s="55"/>
      <c r="D410" s="54"/>
      <c r="E410" s="56"/>
      <c r="F410" s="54"/>
      <c r="G410" s="57"/>
    </row>
    <row r="411" spans="1:7" ht="15" x14ac:dyDescent="0.25">
      <c r="A411" s="1302" t="s">
        <v>116</v>
      </c>
      <c r="B411" s="1303"/>
      <c r="C411" s="82" t="s">
        <v>131</v>
      </c>
      <c r="D411" s="81" t="s">
        <v>132</v>
      </c>
      <c r="E411" s="82" t="s">
        <v>133</v>
      </c>
      <c r="F411" s="83" t="s">
        <v>126</v>
      </c>
      <c r="G411" s="84" t="s">
        <v>134</v>
      </c>
    </row>
    <row r="412" spans="1:7" ht="15" x14ac:dyDescent="0.25">
      <c r="A412" s="58" t="s">
        <v>10</v>
      </c>
      <c r="B412" s="135"/>
      <c r="C412" s="106">
        <f>M37*3</f>
        <v>0</v>
      </c>
      <c r="D412" s="107">
        <v>1.7</v>
      </c>
      <c r="E412" s="108">
        <f>C412*D412</f>
        <v>0</v>
      </c>
      <c r="F412" s="88">
        <f>+F404/3</f>
        <v>4.1666666666666664E-2</v>
      </c>
      <c r="G412" s="109">
        <f>F412*E412</f>
        <v>0</v>
      </c>
    </row>
    <row r="413" spans="1:7" ht="15" x14ac:dyDescent="0.25">
      <c r="A413" s="58"/>
      <c r="B413" s="136"/>
      <c r="C413" s="106"/>
      <c r="D413" s="107"/>
      <c r="E413" s="108"/>
      <c r="F413" s="88"/>
      <c r="G413" s="109"/>
    </row>
    <row r="414" spans="1:7" ht="15" x14ac:dyDescent="0.25">
      <c r="A414" s="96"/>
      <c r="B414" s="97"/>
      <c r="C414" s="99"/>
      <c r="D414" s="98"/>
      <c r="E414" s="99"/>
      <c r="F414" s="101"/>
      <c r="G414" s="116"/>
    </row>
    <row r="415" spans="1:7" ht="15" x14ac:dyDescent="0.25">
      <c r="A415" s="58"/>
      <c r="B415" s="54"/>
      <c r="C415" s="55"/>
      <c r="D415" s="130"/>
      <c r="E415" s="117"/>
      <c r="F415" s="117" t="s">
        <v>121</v>
      </c>
      <c r="G415" s="118">
        <f>+SUM(G412:G414)</f>
        <v>0</v>
      </c>
    </row>
    <row r="416" spans="1:7" ht="15" x14ac:dyDescent="0.25">
      <c r="A416" s="53" t="s">
        <v>135</v>
      </c>
      <c r="B416" s="54"/>
      <c r="C416" s="55"/>
      <c r="D416" s="54"/>
      <c r="E416" s="56"/>
      <c r="F416" s="54"/>
      <c r="G416" s="57"/>
    </row>
    <row r="417" spans="1:7" ht="15" x14ac:dyDescent="0.25">
      <c r="A417" s="58"/>
      <c r="B417" s="54"/>
      <c r="C417" s="55"/>
      <c r="D417" s="54"/>
      <c r="E417" s="56"/>
      <c r="F417" s="54"/>
      <c r="G417" s="57"/>
    </row>
    <row r="418" spans="1:7" ht="15" x14ac:dyDescent="0.25">
      <c r="A418" s="1302" t="s">
        <v>116</v>
      </c>
      <c r="B418" s="1303"/>
      <c r="C418" s="82" t="s">
        <v>117</v>
      </c>
      <c r="D418" s="81" t="s">
        <v>136</v>
      </c>
      <c r="E418" s="82" t="s">
        <v>124</v>
      </c>
      <c r="F418" s="83" t="s">
        <v>126</v>
      </c>
      <c r="G418" s="84" t="s">
        <v>134</v>
      </c>
    </row>
    <row r="419" spans="1:7" ht="15" x14ac:dyDescent="0.25">
      <c r="A419" s="1318" t="s">
        <v>148</v>
      </c>
      <c r="B419" s="1319"/>
      <c r="C419" s="106" t="s">
        <v>15</v>
      </c>
      <c r="D419" s="107"/>
      <c r="E419" s="108">
        <f>140000/7</f>
        <v>20000</v>
      </c>
      <c r="F419" s="88">
        <v>1</v>
      </c>
      <c r="G419" s="109">
        <f>F419*E419</f>
        <v>20000</v>
      </c>
    </row>
    <row r="420" spans="1:7" ht="15" x14ac:dyDescent="0.25">
      <c r="A420" s="58"/>
      <c r="B420" s="111"/>
      <c r="C420" s="112"/>
      <c r="D420" s="112"/>
      <c r="E420" s="112"/>
      <c r="F420" s="114"/>
      <c r="G420" s="115"/>
    </row>
    <row r="421" spans="1:7" ht="15" x14ac:dyDescent="0.25">
      <c r="A421" s="58"/>
      <c r="B421" s="54"/>
      <c r="C421" s="55"/>
      <c r="D421" s="130"/>
      <c r="E421" s="117"/>
      <c r="F421" s="117" t="s">
        <v>121</v>
      </c>
      <c r="G421" s="118">
        <f>+SUM(G419:G420)</f>
        <v>20000</v>
      </c>
    </row>
    <row r="422" spans="1:7" ht="15" x14ac:dyDescent="0.25">
      <c r="A422" s="58"/>
      <c r="B422" s="54"/>
      <c r="C422" s="55"/>
      <c r="D422" s="54"/>
      <c r="E422" s="56"/>
      <c r="F422" s="54"/>
      <c r="G422" s="119"/>
    </row>
    <row r="423" spans="1:7" ht="15" x14ac:dyDescent="0.25">
      <c r="A423" s="120"/>
      <c r="B423" s="121"/>
      <c r="C423" s="121"/>
      <c r="D423" s="121"/>
      <c r="E423" s="123"/>
      <c r="F423" s="124" t="s">
        <v>137</v>
      </c>
      <c r="G423" s="125">
        <f>+ROUND(G399+G408+G415+G421,0)</f>
        <v>143200</v>
      </c>
    </row>
    <row r="425" spans="1:7" ht="15" x14ac:dyDescent="0.25">
      <c r="A425" s="50" t="s">
        <v>114</v>
      </c>
      <c r="B425" s="1291" t="s">
        <v>1</v>
      </c>
      <c r="C425" s="1291"/>
      <c r="D425" s="1291"/>
      <c r="E425" s="1291"/>
      <c r="F425" s="1291"/>
      <c r="G425" s="51" t="s">
        <v>2</v>
      </c>
    </row>
    <row r="426" spans="1:7" ht="15" customHeight="1" x14ac:dyDescent="0.25">
      <c r="A426" s="1055">
        <f>'FORMATO PROPUESTA ECONÓMICA'!A25</f>
        <v>4.0999999999999996</v>
      </c>
      <c r="B426" s="1315" t="str">
        <f>'FORMATO PROPUESTA ECONÓMICA'!B25</f>
        <v>Cargue con maquinaria, retiro y disposición final de material sobrante a 4 Km</v>
      </c>
      <c r="C426" s="1285"/>
      <c r="D426" s="1285"/>
      <c r="E426" s="1285"/>
      <c r="F426" s="1286"/>
      <c r="G426" s="561" t="str">
        <f>'FORMATO PROPUESTA ECONÓMICA'!C25</f>
        <v>m3</v>
      </c>
    </row>
    <row r="427" spans="1:7" ht="15" x14ac:dyDescent="0.25">
      <c r="A427" s="53" t="s">
        <v>115</v>
      </c>
      <c r="B427" s="54"/>
      <c r="C427" s="55"/>
      <c r="D427" s="54"/>
      <c r="E427" s="56"/>
      <c r="F427" s="54"/>
      <c r="G427" s="57"/>
    </row>
    <row r="428" spans="1:7" ht="15" x14ac:dyDescent="0.25">
      <c r="A428" s="58"/>
      <c r="B428" s="54"/>
      <c r="C428" s="55"/>
      <c r="D428" s="54"/>
      <c r="E428" s="56"/>
      <c r="F428" s="54"/>
      <c r="G428" s="57"/>
    </row>
    <row r="429" spans="1:7" ht="15" x14ac:dyDescent="0.25">
      <c r="A429" s="1304" t="s">
        <v>116</v>
      </c>
      <c r="B429" s="1305"/>
      <c r="C429" s="59" t="s">
        <v>117</v>
      </c>
      <c r="D429" s="1085" t="s">
        <v>118</v>
      </c>
      <c r="E429" s="60" t="s">
        <v>39</v>
      </c>
      <c r="F429" s="1085" t="s">
        <v>119</v>
      </c>
      <c r="G429" s="61" t="s">
        <v>120</v>
      </c>
    </row>
    <row r="430" spans="1:7" ht="15" x14ac:dyDescent="0.25">
      <c r="A430" s="1308"/>
      <c r="B430" s="1309"/>
      <c r="C430" s="67"/>
      <c r="D430" s="68"/>
      <c r="E430" s="69"/>
      <c r="F430" s="129"/>
      <c r="G430" s="71">
        <f>D430*E430</f>
        <v>0</v>
      </c>
    </row>
    <row r="431" spans="1:7" ht="15" x14ac:dyDescent="0.25">
      <c r="A431" s="1308"/>
      <c r="B431" s="1309"/>
      <c r="C431" s="67"/>
      <c r="D431" s="68"/>
      <c r="E431" s="69"/>
      <c r="F431" s="70"/>
      <c r="G431" s="71">
        <f>E431*D431</f>
        <v>0</v>
      </c>
    </row>
    <row r="432" spans="1:7" ht="15" x14ac:dyDescent="0.25">
      <c r="A432" s="1310"/>
      <c r="B432" s="1311"/>
      <c r="C432" s="72"/>
      <c r="D432" s="73"/>
      <c r="E432" s="74"/>
      <c r="F432" s="75"/>
      <c r="G432" s="76"/>
    </row>
    <row r="433" spans="1:7" ht="15" x14ac:dyDescent="0.25">
      <c r="A433" s="1061"/>
      <c r="B433" s="77"/>
      <c r="C433" s="55"/>
      <c r="D433" s="54"/>
      <c r="E433" s="130"/>
      <c r="F433" s="79" t="s">
        <v>121</v>
      </c>
      <c r="G433" s="80">
        <f>+SUM(G430:G432)</f>
        <v>0</v>
      </c>
    </row>
    <row r="434" spans="1:7" ht="15" x14ac:dyDescent="0.25">
      <c r="A434" s="53" t="s">
        <v>122</v>
      </c>
      <c r="B434" s="54"/>
      <c r="C434" s="55" t="s">
        <v>123</v>
      </c>
      <c r="D434" s="54"/>
      <c r="E434" s="56"/>
      <c r="F434" s="54"/>
      <c r="G434" s="57"/>
    </row>
    <row r="435" spans="1:7" ht="15" x14ac:dyDescent="0.25">
      <c r="A435" s="58"/>
      <c r="B435" s="54"/>
      <c r="C435" s="55"/>
      <c r="D435" s="54"/>
      <c r="E435" s="56"/>
      <c r="F435" s="54"/>
      <c r="G435" s="57"/>
    </row>
    <row r="436" spans="1:7" ht="15" x14ac:dyDescent="0.25">
      <c r="A436" s="1302" t="s">
        <v>116</v>
      </c>
      <c r="B436" s="1303"/>
      <c r="C436" s="81" t="s">
        <v>117</v>
      </c>
      <c r="D436" s="82" t="s">
        <v>124</v>
      </c>
      <c r="E436" s="82" t="s">
        <v>125</v>
      </c>
      <c r="F436" s="83" t="s">
        <v>126</v>
      </c>
      <c r="G436" s="84" t="s">
        <v>120</v>
      </c>
    </row>
    <row r="437" spans="1:7" ht="15" customHeight="1" x14ac:dyDescent="0.25">
      <c r="A437" s="1287" t="s">
        <v>127</v>
      </c>
      <c r="B437" s="1288"/>
      <c r="C437" s="85" t="s">
        <v>128</v>
      </c>
      <c r="D437" s="86"/>
      <c r="E437" s="87"/>
      <c r="F437" s="88"/>
      <c r="G437" s="89">
        <f>G448*0.05</f>
        <v>101.11992000000001</v>
      </c>
    </row>
    <row r="438" spans="1:7" ht="15" customHeight="1" x14ac:dyDescent="0.25">
      <c r="A438" s="1316" t="s">
        <v>151</v>
      </c>
      <c r="B438" s="1317"/>
      <c r="C438" s="90" t="s">
        <v>11</v>
      </c>
      <c r="D438" s="91">
        <f>110000*1.16</f>
        <v>127599.99999999999</v>
      </c>
      <c r="E438" s="92"/>
      <c r="F438" s="93">
        <v>20</v>
      </c>
      <c r="G438" s="89">
        <f>D438/F438</f>
        <v>6379.9999999999991</v>
      </c>
    </row>
    <row r="439" spans="1:7" ht="15" x14ac:dyDescent="0.25">
      <c r="A439" s="1312"/>
      <c r="B439" s="1313"/>
      <c r="C439" s="90"/>
      <c r="D439" s="131"/>
      <c r="E439" s="138"/>
      <c r="F439" s="88"/>
      <c r="G439" s="89"/>
    </row>
    <row r="440" spans="1:7" ht="15" x14ac:dyDescent="0.25">
      <c r="A440" s="96"/>
      <c r="B440" s="97"/>
      <c r="C440" s="98"/>
      <c r="D440" s="99"/>
      <c r="E440" s="100"/>
      <c r="F440" s="101"/>
      <c r="G440" s="102"/>
    </row>
    <row r="441" spans="1:7" ht="15" x14ac:dyDescent="0.25">
      <c r="A441" s="58"/>
      <c r="B441" s="54"/>
      <c r="C441" s="55"/>
      <c r="D441" s="54"/>
      <c r="E441" s="130"/>
      <c r="F441" s="103" t="s">
        <v>121</v>
      </c>
      <c r="G441" s="104">
        <f>+SUM(G437:G440)</f>
        <v>6481.1199199999992</v>
      </c>
    </row>
    <row r="442" spans="1:7" ht="15" x14ac:dyDescent="0.25">
      <c r="A442" s="53" t="s">
        <v>130</v>
      </c>
      <c r="B442" s="54"/>
      <c r="C442" s="55"/>
      <c r="D442" s="54"/>
      <c r="E442" s="56"/>
      <c r="F442" s="54"/>
      <c r="G442" s="57"/>
    </row>
    <row r="443" spans="1:7" ht="15" x14ac:dyDescent="0.25">
      <c r="A443" s="58"/>
      <c r="B443" s="54"/>
      <c r="C443" s="55"/>
      <c r="D443" s="54"/>
      <c r="E443" s="56"/>
      <c r="F443" s="54"/>
      <c r="G443" s="57"/>
    </row>
    <row r="444" spans="1:7" ht="15" x14ac:dyDescent="0.25">
      <c r="A444" s="1302" t="s">
        <v>116</v>
      </c>
      <c r="B444" s="1303"/>
      <c r="C444" s="82" t="s">
        <v>131</v>
      </c>
      <c r="D444" s="81" t="s">
        <v>132</v>
      </c>
      <c r="E444" s="82" t="s">
        <v>133</v>
      </c>
      <c r="F444" s="83" t="s">
        <v>126</v>
      </c>
      <c r="G444" s="84" t="s">
        <v>134</v>
      </c>
    </row>
    <row r="445" spans="1:7" ht="15" x14ac:dyDescent="0.25">
      <c r="A445" s="58" t="s">
        <v>10</v>
      </c>
      <c r="B445" s="135"/>
      <c r="C445" s="106">
        <f>M2</f>
        <v>22981.8</v>
      </c>
      <c r="D445" s="107">
        <f>N2</f>
        <v>1.76</v>
      </c>
      <c r="E445" s="108">
        <f>C445*D445</f>
        <v>40447.968000000001</v>
      </c>
      <c r="F445" s="88">
        <f>F438/1</f>
        <v>20</v>
      </c>
      <c r="G445" s="109">
        <f>E445/F445</f>
        <v>2022.3984</v>
      </c>
    </row>
    <row r="446" spans="1:7" ht="15" x14ac:dyDescent="0.25">
      <c r="A446" s="58"/>
      <c r="B446" s="136"/>
      <c r="C446" s="106"/>
      <c r="D446" s="107"/>
      <c r="E446" s="108"/>
      <c r="F446" s="88"/>
      <c r="G446" s="109"/>
    </row>
    <row r="447" spans="1:7" ht="15" x14ac:dyDescent="0.25">
      <c r="A447" s="96"/>
      <c r="B447" s="97"/>
      <c r="C447" s="99"/>
      <c r="D447" s="98"/>
      <c r="E447" s="99"/>
      <c r="F447" s="101"/>
      <c r="G447" s="116"/>
    </row>
    <row r="448" spans="1:7" ht="15" x14ac:dyDescent="0.25">
      <c r="A448" s="58"/>
      <c r="B448" s="54"/>
      <c r="C448" s="55"/>
      <c r="D448" s="130"/>
      <c r="E448" s="117"/>
      <c r="F448" s="117" t="s">
        <v>121</v>
      </c>
      <c r="G448" s="118">
        <f>+SUM(G445:G447)</f>
        <v>2022.3984</v>
      </c>
    </row>
    <row r="449" spans="1:7" ht="15" x14ac:dyDescent="0.25">
      <c r="A449" s="53" t="s">
        <v>135</v>
      </c>
      <c r="B449" s="54"/>
      <c r="C449" s="55"/>
      <c r="D449" s="54"/>
      <c r="E449" s="56"/>
      <c r="F449" s="54"/>
      <c r="G449" s="57"/>
    </row>
    <row r="450" spans="1:7" ht="15" x14ac:dyDescent="0.25">
      <c r="A450" s="58"/>
      <c r="B450" s="54"/>
      <c r="C450" s="55"/>
      <c r="D450" s="54"/>
      <c r="E450" s="56"/>
      <c r="F450" s="54"/>
      <c r="G450" s="57"/>
    </row>
    <row r="451" spans="1:7" ht="15" x14ac:dyDescent="0.25">
      <c r="A451" s="1302" t="s">
        <v>116</v>
      </c>
      <c r="B451" s="1303"/>
      <c r="C451" s="82" t="s">
        <v>117</v>
      </c>
      <c r="D451" s="81" t="s">
        <v>136</v>
      </c>
      <c r="E451" s="82" t="s">
        <v>124</v>
      </c>
      <c r="F451" s="83" t="s">
        <v>126</v>
      </c>
      <c r="G451" s="84" t="s">
        <v>134</v>
      </c>
    </row>
    <row r="452" spans="1:7" ht="15" x14ac:dyDescent="0.25">
      <c r="A452" s="1312" t="s">
        <v>152</v>
      </c>
      <c r="B452" s="1313"/>
      <c r="C452" s="90" t="s">
        <v>15</v>
      </c>
      <c r="D452" s="131"/>
      <c r="E452" s="138">
        <f>60000/7*1.2</f>
        <v>10285.714285714284</v>
      </c>
      <c r="F452" s="88">
        <v>1</v>
      </c>
      <c r="G452" s="89">
        <f>F452*E452</f>
        <v>10285.714285714284</v>
      </c>
    </row>
    <row r="453" spans="1:7" ht="15" x14ac:dyDescent="0.25">
      <c r="A453" s="58"/>
      <c r="B453" s="111"/>
      <c r="C453" s="112"/>
      <c r="D453" s="113"/>
      <c r="E453" s="112"/>
      <c r="F453" s="114"/>
      <c r="G453" s="115"/>
    </row>
    <row r="454" spans="1:7" ht="15" x14ac:dyDescent="0.25">
      <c r="A454" s="96"/>
      <c r="B454" s="97"/>
      <c r="C454" s="99"/>
      <c r="D454" s="98"/>
      <c r="E454" s="99"/>
      <c r="F454" s="101"/>
      <c r="G454" s="116"/>
    </row>
    <row r="455" spans="1:7" ht="15" x14ac:dyDescent="0.25">
      <c r="A455" s="58"/>
      <c r="B455" s="54"/>
      <c r="C455" s="55"/>
      <c r="D455" s="130"/>
      <c r="E455" s="117"/>
      <c r="F455" s="117" t="s">
        <v>121</v>
      </c>
      <c r="G455" s="118">
        <f>+SUM(G452:G454)</f>
        <v>10285.714285714284</v>
      </c>
    </row>
    <row r="456" spans="1:7" ht="15" x14ac:dyDescent="0.25">
      <c r="A456" s="58"/>
      <c r="B456" s="54"/>
      <c r="C456" s="55"/>
      <c r="D456" s="54"/>
      <c r="E456" s="56"/>
      <c r="F456" s="54"/>
      <c r="G456" s="119"/>
    </row>
    <row r="457" spans="1:7" ht="15" x14ac:dyDescent="0.25">
      <c r="A457" s="120"/>
      <c r="B457" s="121"/>
      <c r="C457" s="121"/>
      <c r="D457" s="121"/>
      <c r="E457" s="123"/>
      <c r="F457" s="124" t="s">
        <v>137</v>
      </c>
      <c r="G457" s="125">
        <f>+ROUND(G433+G441+G448+G455,0)</f>
        <v>18789</v>
      </c>
    </row>
    <row r="458" spans="1:7" ht="15" x14ac:dyDescent="0.25">
      <c r="A458" s="58"/>
      <c r="B458" s="121"/>
      <c r="C458" s="121"/>
      <c r="D458" s="121"/>
      <c r="E458" s="123"/>
      <c r="F458" s="124"/>
      <c r="G458" s="124"/>
    </row>
    <row r="459" spans="1:7" ht="15" x14ac:dyDescent="0.25">
      <c r="A459" s="50" t="s">
        <v>114</v>
      </c>
      <c r="B459" s="1291" t="s">
        <v>1</v>
      </c>
      <c r="C459" s="1291"/>
      <c r="D459" s="1291"/>
      <c r="E459" s="1291"/>
      <c r="F459" s="1291"/>
      <c r="G459" s="51" t="s">
        <v>2</v>
      </c>
    </row>
    <row r="460" spans="1:7" ht="15" customHeight="1" x14ac:dyDescent="0.25">
      <c r="A460" s="1054">
        <f>'FORMATO PROPUESTA ECONÓMICA'!A27</f>
        <v>5.0999999999999996</v>
      </c>
      <c r="B460" s="1315" t="str">
        <f>'FORMATO PROPUESTA ECONÓMICA'!B27</f>
        <v>Reconstrucción de andenes en concreto f'c = 3000PSI, e = 0,10m</v>
      </c>
      <c r="C460" s="1285"/>
      <c r="D460" s="1285"/>
      <c r="E460" s="1285"/>
      <c r="F460" s="1286"/>
      <c r="G460" s="561" t="str">
        <f>'FORMATO PROPUESTA ECONÓMICA'!C27</f>
        <v>m2</v>
      </c>
    </row>
    <row r="461" spans="1:7" ht="15" x14ac:dyDescent="0.25">
      <c r="A461" s="53" t="s">
        <v>115</v>
      </c>
      <c r="B461" s="54"/>
      <c r="C461" s="55"/>
      <c r="D461" s="54"/>
      <c r="E461" s="56"/>
      <c r="F461" s="54"/>
      <c r="G461" s="57"/>
    </row>
    <row r="462" spans="1:7" ht="15" x14ac:dyDescent="0.25">
      <c r="A462" s="58"/>
      <c r="B462" s="54"/>
      <c r="C462" s="55"/>
      <c r="D462" s="54"/>
      <c r="E462" s="56"/>
      <c r="F462" s="54"/>
      <c r="G462" s="57"/>
    </row>
    <row r="463" spans="1:7" ht="15" x14ac:dyDescent="0.25">
      <c r="A463" s="1304" t="s">
        <v>116</v>
      </c>
      <c r="B463" s="1305"/>
      <c r="C463" s="59" t="s">
        <v>117</v>
      </c>
      <c r="D463" s="1085" t="s">
        <v>118</v>
      </c>
      <c r="E463" s="60" t="s">
        <v>39</v>
      </c>
      <c r="F463" s="1085" t="s">
        <v>119</v>
      </c>
      <c r="G463" s="61" t="s">
        <v>120</v>
      </c>
    </row>
    <row r="464" spans="1:7" ht="15" customHeight="1" x14ac:dyDescent="0.25">
      <c r="A464" s="1308" t="s">
        <v>153</v>
      </c>
      <c r="B464" s="1309"/>
      <c r="C464" s="67" t="s">
        <v>15</v>
      </c>
      <c r="D464" s="91">
        <v>409572.8</v>
      </c>
      <c r="E464" s="69">
        <v>0.15</v>
      </c>
      <c r="F464" s="141">
        <v>5.0000000000000001E-4</v>
      </c>
      <c r="G464" s="71">
        <f>D464*E464*1.05</f>
        <v>64507.716</v>
      </c>
    </row>
    <row r="465" spans="1:7" ht="15" x14ac:dyDescent="0.25">
      <c r="A465" s="1308"/>
      <c r="B465" s="1309"/>
      <c r="C465" s="67"/>
      <c r="D465" s="68"/>
      <c r="E465" s="69"/>
      <c r="F465" s="70"/>
      <c r="G465" s="71">
        <f>D465*E465</f>
        <v>0</v>
      </c>
    </row>
    <row r="466" spans="1:7" ht="15" x14ac:dyDescent="0.25">
      <c r="A466" s="1310"/>
      <c r="B466" s="1311"/>
      <c r="C466" s="72"/>
      <c r="D466" s="73"/>
      <c r="E466" s="142"/>
      <c r="F466" s="75"/>
      <c r="G466" s="71">
        <f>D466*E466</f>
        <v>0</v>
      </c>
    </row>
    <row r="467" spans="1:7" ht="15" x14ac:dyDescent="0.25">
      <c r="A467" s="1061"/>
      <c r="B467" s="77"/>
      <c r="C467" s="55"/>
      <c r="D467" s="54"/>
      <c r="E467" s="130"/>
      <c r="F467" s="79" t="s">
        <v>121</v>
      </c>
      <c r="G467" s="80">
        <f>+SUM(G464:G466)</f>
        <v>64507.716</v>
      </c>
    </row>
    <row r="468" spans="1:7" ht="15" x14ac:dyDescent="0.25">
      <c r="A468" s="53" t="s">
        <v>122</v>
      </c>
      <c r="B468" s="54"/>
      <c r="C468" s="55" t="s">
        <v>123</v>
      </c>
      <c r="D468" s="54"/>
      <c r="E468" s="56"/>
      <c r="F468" s="54"/>
      <c r="G468" s="57"/>
    </row>
    <row r="469" spans="1:7" ht="15" x14ac:dyDescent="0.25">
      <c r="A469" s="58"/>
      <c r="B469" s="54"/>
      <c r="C469" s="55"/>
      <c r="D469" s="54"/>
      <c r="E469" s="56"/>
      <c r="F469" s="54"/>
      <c r="G469" s="57"/>
    </row>
    <row r="470" spans="1:7" ht="15" x14ac:dyDescent="0.25">
      <c r="A470" s="1302" t="s">
        <v>116</v>
      </c>
      <c r="B470" s="1303"/>
      <c r="C470" s="81" t="s">
        <v>117</v>
      </c>
      <c r="D470" s="82" t="s">
        <v>124</v>
      </c>
      <c r="E470" s="82" t="s">
        <v>125</v>
      </c>
      <c r="F470" s="83" t="s">
        <v>126</v>
      </c>
      <c r="G470" s="84" t="s">
        <v>120</v>
      </c>
    </row>
    <row r="471" spans="1:7" ht="15" customHeight="1" x14ac:dyDescent="0.25">
      <c r="A471" s="1287" t="s">
        <v>127</v>
      </c>
      <c r="B471" s="1288"/>
      <c r="C471" s="85" t="s">
        <v>128</v>
      </c>
      <c r="D471" s="86"/>
      <c r="E471" s="87"/>
      <c r="F471" s="88"/>
      <c r="G471" s="89">
        <f>G483*0.05</f>
        <v>166.27195200000003</v>
      </c>
    </row>
    <row r="472" spans="1:7" ht="15" customHeight="1" x14ac:dyDescent="0.25">
      <c r="A472" s="1316" t="s">
        <v>154</v>
      </c>
      <c r="B472" s="1317"/>
      <c r="C472" s="90" t="s">
        <v>7</v>
      </c>
      <c r="D472" s="91">
        <v>15000</v>
      </c>
      <c r="E472" s="92"/>
      <c r="F472" s="93">
        <v>3</v>
      </c>
      <c r="G472" s="89">
        <f>+D472/F472</f>
        <v>5000</v>
      </c>
    </row>
    <row r="473" spans="1:7" ht="15" x14ac:dyDescent="0.25">
      <c r="A473" s="58"/>
      <c r="B473" s="111"/>
      <c r="C473" s="113"/>
      <c r="D473" s="131"/>
      <c r="E473" s="132"/>
      <c r="F473" s="88"/>
      <c r="G473" s="133"/>
    </row>
    <row r="474" spans="1:7" ht="15" x14ac:dyDescent="0.25">
      <c r="A474" s="96"/>
      <c r="B474" s="97"/>
      <c r="C474" s="98"/>
      <c r="D474" s="99"/>
      <c r="E474" s="100"/>
      <c r="F474" s="101"/>
      <c r="G474" s="102"/>
    </row>
    <row r="475" spans="1:7" ht="15" x14ac:dyDescent="0.25">
      <c r="A475" s="58"/>
      <c r="B475" s="54"/>
      <c r="C475" s="55"/>
      <c r="D475" s="54"/>
      <c r="E475" s="130"/>
      <c r="F475" s="103" t="s">
        <v>121</v>
      </c>
      <c r="G475" s="104">
        <f>+SUM(G471:G474)</f>
        <v>5166.2719520000001</v>
      </c>
    </row>
    <row r="476" spans="1:7" ht="15" x14ac:dyDescent="0.25">
      <c r="A476" s="53" t="s">
        <v>130</v>
      </c>
      <c r="B476" s="54"/>
      <c r="C476" s="55"/>
      <c r="D476" s="54"/>
      <c r="E476" s="56"/>
      <c r="F476" s="54"/>
      <c r="G476" s="57"/>
    </row>
    <row r="477" spans="1:7" ht="15" x14ac:dyDescent="0.25">
      <c r="A477" s="58"/>
      <c r="B477" s="54"/>
      <c r="C477" s="55"/>
      <c r="D477" s="54"/>
      <c r="E477" s="56"/>
      <c r="F477" s="54"/>
      <c r="G477" s="57"/>
    </row>
    <row r="478" spans="1:7" ht="15" x14ac:dyDescent="0.25">
      <c r="A478" s="1302" t="s">
        <v>116</v>
      </c>
      <c r="B478" s="1303"/>
      <c r="C478" s="82" t="s">
        <v>131</v>
      </c>
      <c r="D478" s="81" t="s">
        <v>132</v>
      </c>
      <c r="E478" s="82" t="s">
        <v>133</v>
      </c>
      <c r="F478" s="83" t="s">
        <v>126</v>
      </c>
      <c r="G478" s="84" t="s">
        <v>134</v>
      </c>
    </row>
    <row r="479" spans="1:7" ht="15" x14ac:dyDescent="0.25">
      <c r="A479" s="58" t="s">
        <v>155</v>
      </c>
      <c r="B479" s="136"/>
      <c r="C479" s="106">
        <f>M3</f>
        <v>40000</v>
      </c>
      <c r="D479" s="107">
        <f>N3</f>
        <v>1.76</v>
      </c>
      <c r="E479" s="108">
        <f>D479*C479</f>
        <v>70400</v>
      </c>
      <c r="F479" s="88">
        <v>0.03</v>
      </c>
      <c r="G479" s="109">
        <f>F479*E479</f>
        <v>2112</v>
      </c>
    </row>
    <row r="480" spans="1:7" ht="15" x14ac:dyDescent="0.25">
      <c r="A480" s="58" t="s">
        <v>156</v>
      </c>
      <c r="B480" s="136"/>
      <c r="C480" s="106">
        <f>M2</f>
        <v>22981.8</v>
      </c>
      <c r="D480" s="107">
        <f>N2</f>
        <v>1.76</v>
      </c>
      <c r="E480" s="108">
        <f>D480*C480</f>
        <v>40447.968000000001</v>
      </c>
      <c r="F480" s="88">
        <v>0.03</v>
      </c>
      <c r="G480" s="109">
        <f>F480*E480</f>
        <v>1213.43904</v>
      </c>
    </row>
    <row r="481" spans="1:7" ht="15" x14ac:dyDescent="0.25">
      <c r="A481" s="58"/>
      <c r="B481" s="111"/>
      <c r="C481" s="112"/>
      <c r="D481" s="113"/>
      <c r="E481" s="112"/>
      <c r="F481" s="114"/>
      <c r="G481" s="115"/>
    </row>
    <row r="482" spans="1:7" ht="15" x14ac:dyDescent="0.25">
      <c r="A482" s="96"/>
      <c r="B482" s="97"/>
      <c r="C482" s="99"/>
      <c r="D482" s="98"/>
      <c r="E482" s="99"/>
      <c r="F482" s="101"/>
      <c r="G482" s="116"/>
    </row>
    <row r="483" spans="1:7" ht="15" x14ac:dyDescent="0.25">
      <c r="A483" s="58"/>
      <c r="B483" s="54"/>
      <c r="C483" s="55"/>
      <c r="D483" s="130"/>
      <c r="E483" s="117"/>
      <c r="F483" s="117" t="s">
        <v>121</v>
      </c>
      <c r="G483" s="118">
        <f>+SUM(G479:G482)</f>
        <v>3325.4390400000002</v>
      </c>
    </row>
    <row r="484" spans="1:7" ht="15" x14ac:dyDescent="0.25">
      <c r="A484" s="53" t="s">
        <v>135</v>
      </c>
      <c r="B484" s="54"/>
      <c r="C484" s="55"/>
      <c r="D484" s="54"/>
      <c r="E484" s="56"/>
      <c r="F484" s="54"/>
      <c r="G484" s="57"/>
    </row>
    <row r="485" spans="1:7" ht="15" x14ac:dyDescent="0.25">
      <c r="A485" s="58"/>
      <c r="B485" s="54"/>
      <c r="C485" s="55"/>
      <c r="D485" s="54"/>
      <c r="E485" s="56"/>
      <c r="F485" s="54"/>
      <c r="G485" s="57"/>
    </row>
    <row r="486" spans="1:7" ht="15" x14ac:dyDescent="0.25">
      <c r="A486" s="1302" t="s">
        <v>116</v>
      </c>
      <c r="B486" s="1303"/>
      <c r="C486" s="82" t="s">
        <v>117</v>
      </c>
      <c r="D486" s="81" t="s">
        <v>136</v>
      </c>
      <c r="E486" s="82" t="s">
        <v>124</v>
      </c>
      <c r="F486" s="83" t="s">
        <v>126</v>
      </c>
      <c r="G486" s="84" t="s">
        <v>134</v>
      </c>
    </row>
    <row r="487" spans="1:7" ht="15" x14ac:dyDescent="0.25">
      <c r="A487" s="58"/>
      <c r="B487" s="105"/>
      <c r="C487" s="106"/>
      <c r="D487" s="107"/>
      <c r="E487" s="108"/>
      <c r="F487" s="88"/>
      <c r="G487" s="109"/>
    </row>
    <row r="488" spans="1:7" ht="15" x14ac:dyDescent="0.25">
      <c r="A488" s="58"/>
      <c r="B488" s="111"/>
      <c r="C488" s="112"/>
      <c r="D488" s="113"/>
      <c r="E488" s="112"/>
      <c r="F488" s="114"/>
      <c r="G488" s="115"/>
    </row>
    <row r="489" spans="1:7" ht="15" x14ac:dyDescent="0.25">
      <c r="A489" s="96"/>
      <c r="B489" s="97"/>
      <c r="C489" s="99"/>
      <c r="D489" s="98"/>
      <c r="E489" s="99"/>
      <c r="F489" s="101"/>
      <c r="G489" s="116"/>
    </row>
    <row r="490" spans="1:7" ht="15" x14ac:dyDescent="0.25">
      <c r="A490" s="58"/>
      <c r="B490" s="54"/>
      <c r="C490" s="55"/>
      <c r="D490" s="130"/>
      <c r="E490" s="117"/>
      <c r="F490" s="117" t="s">
        <v>121</v>
      </c>
      <c r="G490" s="118">
        <f>+SUM(G487:G489)</f>
        <v>0</v>
      </c>
    </row>
    <row r="491" spans="1:7" ht="15" x14ac:dyDescent="0.25">
      <c r="A491" s="58"/>
      <c r="B491" s="54"/>
      <c r="C491" s="55"/>
      <c r="D491" s="54"/>
      <c r="E491" s="56"/>
      <c r="F491" s="54"/>
      <c r="G491" s="119"/>
    </row>
    <row r="492" spans="1:7" ht="15" x14ac:dyDescent="0.25">
      <c r="A492" s="120"/>
      <c r="B492" s="121"/>
      <c r="C492" s="121"/>
      <c r="D492" s="121"/>
      <c r="E492" s="123"/>
      <c r="F492" s="124" t="s">
        <v>137</v>
      </c>
      <c r="G492" s="125">
        <f>+ROUND(G467+G475+G483,0)</f>
        <v>72999</v>
      </c>
    </row>
    <row r="494" spans="1:7" ht="15" x14ac:dyDescent="0.25">
      <c r="A494" s="50" t="s">
        <v>114</v>
      </c>
      <c r="B494" s="1291" t="s">
        <v>1</v>
      </c>
      <c r="C494" s="1291"/>
      <c r="D494" s="1291"/>
      <c r="E494" s="1291"/>
      <c r="F494" s="1291"/>
      <c r="G494" s="51" t="s">
        <v>2</v>
      </c>
    </row>
    <row r="495" spans="1:7" ht="15" customHeight="1" x14ac:dyDescent="0.25">
      <c r="A495" s="51">
        <f>'FORMATO PROPUESTA ECONÓMICA'!A28</f>
        <v>5.2</v>
      </c>
      <c r="B495" s="1315" t="str">
        <f>'FORMATO PROPUESTA ECONÓMICA'!B28</f>
        <v>Reconstrucción de andenes en granito, arenón o vitrificado.</v>
      </c>
      <c r="C495" s="1285"/>
      <c r="D495" s="1285"/>
      <c r="E495" s="1285"/>
      <c r="F495" s="1286"/>
      <c r="G495" s="52" t="str">
        <f>'FORMATO PROPUESTA ECONÓMICA'!C28</f>
        <v>m2</v>
      </c>
    </row>
    <row r="496" spans="1:7" ht="15" x14ac:dyDescent="0.25">
      <c r="A496" s="53" t="s">
        <v>115</v>
      </c>
      <c r="B496" s="54"/>
      <c r="C496" s="55"/>
      <c r="D496" s="54"/>
      <c r="E496" s="56"/>
      <c r="F496" s="54"/>
      <c r="G496" s="57"/>
    </row>
    <row r="497" spans="1:7" ht="15" x14ac:dyDescent="0.25">
      <c r="A497" s="58"/>
      <c r="B497" s="54"/>
      <c r="C497" s="55"/>
      <c r="D497" s="54"/>
      <c r="E497" s="56"/>
      <c r="F497" s="54"/>
      <c r="G497" s="57"/>
    </row>
    <row r="498" spans="1:7" ht="15" x14ac:dyDescent="0.25">
      <c r="A498" s="1304" t="s">
        <v>116</v>
      </c>
      <c r="B498" s="1305"/>
      <c r="C498" s="59" t="s">
        <v>117</v>
      </c>
      <c r="D498" s="1085" t="s">
        <v>118</v>
      </c>
      <c r="E498" s="60" t="s">
        <v>39</v>
      </c>
      <c r="F498" s="1085" t="s">
        <v>119</v>
      </c>
      <c r="G498" s="61" t="s">
        <v>120</v>
      </c>
    </row>
    <row r="499" spans="1:7" ht="15" customHeight="1" x14ac:dyDescent="0.25">
      <c r="A499" s="1308" t="s">
        <v>157</v>
      </c>
      <c r="B499" s="1309"/>
      <c r="C499" s="67" t="s">
        <v>15</v>
      </c>
      <c r="D499" s="143">
        <v>409572.8</v>
      </c>
      <c r="E499" s="69">
        <v>0.04</v>
      </c>
      <c r="F499" s="70">
        <v>0.05</v>
      </c>
      <c r="G499" s="71">
        <f>D499*E499*1.05</f>
        <v>17202.0576</v>
      </c>
    </row>
    <row r="500" spans="1:7" ht="15" x14ac:dyDescent="0.25">
      <c r="A500" s="1312" t="s">
        <v>158</v>
      </c>
      <c r="B500" s="1313"/>
      <c r="C500" s="90" t="s">
        <v>16</v>
      </c>
      <c r="D500" s="131">
        <v>50000</v>
      </c>
      <c r="E500" s="69">
        <v>1</v>
      </c>
      <c r="F500" s="70"/>
      <c r="G500" s="71">
        <f>D500*E500</f>
        <v>50000</v>
      </c>
    </row>
    <row r="501" spans="1:7" ht="15" x14ac:dyDescent="0.25">
      <c r="A501" s="1310"/>
      <c r="B501" s="1311"/>
      <c r="C501" s="72"/>
      <c r="D501" s="73"/>
      <c r="E501" s="142"/>
      <c r="F501" s="75"/>
      <c r="G501" s="71">
        <f>D501*E501</f>
        <v>0</v>
      </c>
    </row>
    <row r="502" spans="1:7" ht="15" x14ac:dyDescent="0.25">
      <c r="A502" s="1061"/>
      <c r="B502" s="77"/>
      <c r="C502" s="55"/>
      <c r="D502" s="54"/>
      <c r="E502" s="130"/>
      <c r="F502" s="79" t="s">
        <v>121</v>
      </c>
      <c r="G502" s="80">
        <f>+SUM(G499:G501)</f>
        <v>67202.0576</v>
      </c>
    </row>
    <row r="503" spans="1:7" ht="15" x14ac:dyDescent="0.25">
      <c r="A503" s="53" t="s">
        <v>122</v>
      </c>
      <c r="B503" s="54"/>
      <c r="C503" s="55" t="s">
        <v>123</v>
      </c>
      <c r="D503" s="54"/>
      <c r="E503" s="56"/>
      <c r="F503" s="54"/>
      <c r="G503" s="57"/>
    </row>
    <row r="504" spans="1:7" ht="15" x14ac:dyDescent="0.25">
      <c r="A504" s="58"/>
      <c r="B504" s="54"/>
      <c r="C504" s="55"/>
      <c r="D504" s="54"/>
      <c r="E504" s="56"/>
      <c r="F504" s="54"/>
      <c r="G504" s="57"/>
    </row>
    <row r="505" spans="1:7" ht="15" x14ac:dyDescent="0.25">
      <c r="A505" s="1302" t="s">
        <v>116</v>
      </c>
      <c r="B505" s="1303"/>
      <c r="C505" s="81" t="s">
        <v>117</v>
      </c>
      <c r="D505" s="82" t="s">
        <v>124</v>
      </c>
      <c r="E505" s="82" t="s">
        <v>125</v>
      </c>
      <c r="F505" s="83" t="s">
        <v>126</v>
      </c>
      <c r="G505" s="84" t="s">
        <v>120</v>
      </c>
    </row>
    <row r="506" spans="1:7" ht="15" customHeight="1" x14ac:dyDescent="0.25">
      <c r="A506" s="1287" t="s">
        <v>127</v>
      </c>
      <c r="B506" s="1288"/>
      <c r="C506" s="85" t="s">
        <v>128</v>
      </c>
      <c r="D506" s="86"/>
      <c r="E506" s="87"/>
      <c r="F506" s="88"/>
      <c r="G506" s="89">
        <f>G518*0.05</f>
        <v>1662.7195200000003</v>
      </c>
    </row>
    <row r="507" spans="1:7" ht="15" customHeight="1" x14ac:dyDescent="0.25">
      <c r="A507" s="1316" t="s">
        <v>159</v>
      </c>
      <c r="B507" s="1317"/>
      <c r="C507" s="90" t="s">
        <v>7</v>
      </c>
      <c r="D507" s="91">
        <v>15000</v>
      </c>
      <c r="E507" s="92"/>
      <c r="F507" s="93">
        <v>0.3</v>
      </c>
      <c r="G507" s="89">
        <f>F507*D507</f>
        <v>4500</v>
      </c>
    </row>
    <row r="508" spans="1:7" ht="15" x14ac:dyDescent="0.25">
      <c r="A508" s="1312"/>
      <c r="B508" s="1313"/>
      <c r="C508" s="90"/>
      <c r="D508" s="131"/>
      <c r="E508" s="138"/>
      <c r="F508" s="88"/>
      <c r="G508" s="89"/>
    </row>
    <row r="509" spans="1:7" ht="15" x14ac:dyDescent="0.25">
      <c r="A509" s="58"/>
      <c r="B509" s="111"/>
      <c r="C509" s="113"/>
      <c r="D509" s="131"/>
      <c r="E509" s="132"/>
      <c r="F509" s="88"/>
      <c r="G509" s="133"/>
    </row>
    <row r="510" spans="1:7" ht="15" x14ac:dyDescent="0.25">
      <c r="A510" s="96"/>
      <c r="B510" s="97"/>
      <c r="C510" s="98"/>
      <c r="D510" s="99"/>
      <c r="E510" s="100"/>
      <c r="F510" s="101"/>
      <c r="G510" s="102"/>
    </row>
    <row r="511" spans="1:7" ht="15" x14ac:dyDescent="0.25">
      <c r="A511" s="58"/>
      <c r="B511" s="54"/>
      <c r="C511" s="55"/>
      <c r="D511" s="54"/>
      <c r="E511" s="130"/>
      <c r="F511" s="103" t="s">
        <v>121</v>
      </c>
      <c r="G511" s="104">
        <f>+SUM(G506:G510)</f>
        <v>6162.7195200000006</v>
      </c>
    </row>
    <row r="512" spans="1:7" ht="15" x14ac:dyDescent="0.25">
      <c r="A512" s="53" t="s">
        <v>130</v>
      </c>
      <c r="B512" s="54"/>
      <c r="C512" s="55"/>
      <c r="D512" s="54"/>
      <c r="E512" s="56"/>
      <c r="F512" s="54"/>
      <c r="G512" s="57"/>
    </row>
    <row r="513" spans="1:7" ht="15" x14ac:dyDescent="0.25">
      <c r="A513" s="58"/>
      <c r="B513" s="54"/>
      <c r="C513" s="55"/>
      <c r="D513" s="54"/>
      <c r="E513" s="56"/>
      <c r="F513" s="54"/>
      <c r="G513" s="57"/>
    </row>
    <row r="514" spans="1:7" ht="15" x14ac:dyDescent="0.25">
      <c r="A514" s="1302" t="s">
        <v>116</v>
      </c>
      <c r="B514" s="1303"/>
      <c r="C514" s="82" t="s">
        <v>131</v>
      </c>
      <c r="D514" s="81" t="s">
        <v>132</v>
      </c>
      <c r="E514" s="82" t="s">
        <v>133</v>
      </c>
      <c r="F514" s="83" t="s">
        <v>126</v>
      </c>
      <c r="G514" s="84" t="s">
        <v>134</v>
      </c>
    </row>
    <row r="515" spans="1:7" ht="15" x14ac:dyDescent="0.25">
      <c r="A515" s="58" t="s">
        <v>155</v>
      </c>
      <c r="B515" s="136"/>
      <c r="C515" s="106">
        <f>M3</f>
        <v>40000</v>
      </c>
      <c r="D515" s="107">
        <f>N3</f>
        <v>1.76</v>
      </c>
      <c r="E515" s="108">
        <f>D515*C515</f>
        <v>70400</v>
      </c>
      <c r="F515" s="144">
        <v>0.3</v>
      </c>
      <c r="G515" s="109">
        <f>F515*E515</f>
        <v>21120</v>
      </c>
    </row>
    <row r="516" spans="1:7" ht="15" x14ac:dyDescent="0.25">
      <c r="A516" s="58" t="s">
        <v>10</v>
      </c>
      <c r="B516" s="136"/>
      <c r="C516" s="106">
        <f>M2</f>
        <v>22981.8</v>
      </c>
      <c r="D516" s="107">
        <f>N2</f>
        <v>1.76</v>
      </c>
      <c r="E516" s="108">
        <f>D516*C516</f>
        <v>40447.968000000001</v>
      </c>
      <c r="F516" s="144">
        <v>0.3</v>
      </c>
      <c r="G516" s="109">
        <f>F516*E516</f>
        <v>12134.3904</v>
      </c>
    </row>
    <row r="517" spans="1:7" ht="15" x14ac:dyDescent="0.25">
      <c r="A517" s="96"/>
      <c r="B517" s="97"/>
      <c r="C517" s="99"/>
      <c r="D517" s="98"/>
      <c r="E517" s="99"/>
      <c r="F517" s="101"/>
      <c r="G517" s="116"/>
    </row>
    <row r="518" spans="1:7" ht="15" x14ac:dyDescent="0.25">
      <c r="A518" s="58"/>
      <c r="B518" s="54"/>
      <c r="C518" s="55"/>
      <c r="D518" s="130"/>
      <c r="E518" s="117"/>
      <c r="F518" s="117" t="s">
        <v>121</v>
      </c>
      <c r="G518" s="118">
        <f>+SUM(G515:G517)</f>
        <v>33254.390400000004</v>
      </c>
    </row>
    <row r="519" spans="1:7" ht="15" x14ac:dyDescent="0.25">
      <c r="A519" s="53" t="s">
        <v>135</v>
      </c>
      <c r="B519" s="54"/>
      <c r="C519" s="55"/>
      <c r="D519" s="54"/>
      <c r="E519" s="56"/>
      <c r="F519" s="54"/>
      <c r="G519" s="57"/>
    </row>
    <row r="520" spans="1:7" ht="15" x14ac:dyDescent="0.25">
      <c r="A520" s="58"/>
      <c r="B520" s="54"/>
      <c r="C520" s="55"/>
      <c r="D520" s="54"/>
      <c r="E520" s="56"/>
      <c r="F520" s="54"/>
      <c r="G520" s="57"/>
    </row>
    <row r="521" spans="1:7" ht="15" x14ac:dyDescent="0.25">
      <c r="A521" s="1302" t="s">
        <v>116</v>
      </c>
      <c r="B521" s="1303"/>
      <c r="C521" s="82" t="s">
        <v>117</v>
      </c>
      <c r="D521" s="81" t="s">
        <v>136</v>
      </c>
      <c r="E521" s="82" t="s">
        <v>124</v>
      </c>
      <c r="F521" s="83" t="s">
        <v>126</v>
      </c>
      <c r="G521" s="84" t="s">
        <v>134</v>
      </c>
    </row>
    <row r="522" spans="1:7" ht="15" x14ac:dyDescent="0.25">
      <c r="A522" s="58"/>
      <c r="B522" s="105"/>
      <c r="C522" s="106"/>
      <c r="D522" s="107"/>
      <c r="E522" s="108"/>
      <c r="F522" s="88"/>
      <c r="G522" s="109"/>
    </row>
    <row r="523" spans="1:7" ht="15" x14ac:dyDescent="0.25">
      <c r="A523" s="96"/>
      <c r="B523" s="97"/>
      <c r="C523" s="99"/>
      <c r="D523" s="98"/>
      <c r="E523" s="99"/>
      <c r="F523" s="101"/>
      <c r="G523" s="116"/>
    </row>
    <row r="524" spans="1:7" ht="15" x14ac:dyDescent="0.25">
      <c r="A524" s="58"/>
      <c r="B524" s="54"/>
      <c r="C524" s="55"/>
      <c r="D524" s="130"/>
      <c r="E524" s="117"/>
      <c r="F524" s="117" t="s">
        <v>121</v>
      </c>
      <c r="G524" s="118">
        <f>+SUM(G522:G523)</f>
        <v>0</v>
      </c>
    </row>
    <row r="525" spans="1:7" ht="15" x14ac:dyDescent="0.25">
      <c r="A525" s="58"/>
      <c r="B525" s="54"/>
      <c r="C525" s="55"/>
      <c r="D525" s="54"/>
      <c r="E525" s="56"/>
      <c r="F525" s="54"/>
      <c r="G525" s="119"/>
    </row>
    <row r="526" spans="1:7" ht="15" x14ac:dyDescent="0.25">
      <c r="A526" s="120"/>
      <c r="B526" s="121"/>
      <c r="C526" s="121"/>
      <c r="D526" s="121"/>
      <c r="E526" s="123"/>
      <c r="F526" s="124" t="s">
        <v>137</v>
      </c>
      <c r="G526" s="125">
        <f>+ROUND(G502+G511+G518,0)</f>
        <v>106619</v>
      </c>
    </row>
    <row r="527" spans="1:7" ht="15" x14ac:dyDescent="0.25">
      <c r="A527" s="120"/>
      <c r="B527" s="121"/>
      <c r="C527" s="121"/>
      <c r="D527" s="121"/>
      <c r="E527" s="123"/>
      <c r="F527" s="124"/>
      <c r="G527" s="124"/>
    </row>
    <row r="528" spans="1:7" s="745" customFormat="1" ht="15" x14ac:dyDescent="0.25">
      <c r="A528" s="145" t="s">
        <v>160</v>
      </c>
      <c r="B528" s="1262" t="s">
        <v>161</v>
      </c>
      <c r="C528" s="1263"/>
      <c r="D528" s="1263"/>
      <c r="E528" s="1263"/>
      <c r="F528" s="1264"/>
      <c r="G528" s="146" t="s">
        <v>2</v>
      </c>
    </row>
    <row r="529" spans="1:7" s="745" customFormat="1" ht="15" customHeight="1" x14ac:dyDescent="0.25">
      <c r="A529" s="147">
        <f>'FORMATO PROPUESTA ECONÓMICA'!A29</f>
        <v>5.3</v>
      </c>
      <c r="B529" s="1326" t="str">
        <f>'FORMATO PROPUESTA ECONÓMICA'!B29</f>
        <v>Construcción o reconstrucción de cordón en concreto, vaciado o prefabricado de 3 caras.  (Ver esquemas 1,2 y 3 NEGC 402).</v>
      </c>
      <c r="C529" s="1327"/>
      <c r="D529" s="1327"/>
      <c r="E529" s="1327"/>
      <c r="F529" s="1328"/>
      <c r="G529" s="148" t="str">
        <f>'FORMATO PROPUESTA ECONÓMICA'!C29</f>
        <v>m</v>
      </c>
    </row>
    <row r="530" spans="1:7" s="745" customFormat="1" ht="15" x14ac:dyDescent="0.25">
      <c r="A530" s="149" t="s">
        <v>115</v>
      </c>
      <c r="B530" s="150"/>
      <c r="C530" s="151"/>
      <c r="D530" s="150"/>
      <c r="E530" s="152"/>
      <c r="F530" s="153"/>
      <c r="G530" s="154"/>
    </row>
    <row r="531" spans="1:7" s="745" customFormat="1" ht="15" x14ac:dyDescent="0.25">
      <c r="A531" s="150"/>
      <c r="B531" s="150"/>
      <c r="C531" s="151"/>
      <c r="D531" s="150"/>
      <c r="E531" s="152"/>
      <c r="F531" s="153"/>
      <c r="G531" s="154"/>
    </row>
    <row r="532" spans="1:7" s="745" customFormat="1" ht="15" x14ac:dyDescent="0.25">
      <c r="A532" s="1258" t="s">
        <v>116</v>
      </c>
      <c r="B532" s="1258"/>
      <c r="C532" s="155" t="s">
        <v>117</v>
      </c>
      <c r="D532" s="1062" t="s">
        <v>118</v>
      </c>
      <c r="E532" s="157" t="s">
        <v>39</v>
      </c>
      <c r="F532" s="1062" t="s">
        <v>119</v>
      </c>
      <c r="G532" s="158" t="s">
        <v>120</v>
      </c>
    </row>
    <row r="533" spans="1:7" s="745" customFormat="1" ht="15" customHeight="1" x14ac:dyDescent="0.25">
      <c r="A533" s="1260" t="s">
        <v>162</v>
      </c>
      <c r="B533" s="1260"/>
      <c r="C533" s="159" t="s">
        <v>79</v>
      </c>
      <c r="D533" s="160">
        <v>25520</v>
      </c>
      <c r="E533" s="161">
        <v>1</v>
      </c>
      <c r="F533" s="162"/>
      <c r="G533" s="163">
        <f>D533*E533</f>
        <v>25520</v>
      </c>
    </row>
    <row r="534" spans="1:7" s="745" customFormat="1" ht="15" x14ac:dyDescent="0.25">
      <c r="A534" s="1260"/>
      <c r="B534" s="1260"/>
      <c r="C534" s="164"/>
      <c r="D534" s="165"/>
      <c r="E534" s="166"/>
      <c r="F534" s="167"/>
      <c r="G534" s="163"/>
    </row>
    <row r="535" spans="1:7" s="745" customFormat="1" ht="15" x14ac:dyDescent="0.25">
      <c r="A535" s="1077"/>
      <c r="B535" s="1077"/>
      <c r="C535" s="151"/>
      <c r="D535" s="150"/>
      <c r="E535" s="150"/>
      <c r="F535" s="168" t="s">
        <v>121</v>
      </c>
      <c r="G535" s="169">
        <f>+SUM(G533:G534)</f>
        <v>25520</v>
      </c>
    </row>
    <row r="536" spans="1:7" s="745" customFormat="1" ht="15" x14ac:dyDescent="0.25">
      <c r="A536" s="149" t="s">
        <v>122</v>
      </c>
      <c r="B536" s="150"/>
      <c r="C536" s="151" t="s">
        <v>123</v>
      </c>
      <c r="D536" s="150"/>
      <c r="E536" s="152"/>
      <c r="F536" s="153"/>
      <c r="G536" s="154"/>
    </row>
    <row r="537" spans="1:7" s="745" customFormat="1" ht="15" x14ac:dyDescent="0.25">
      <c r="A537" s="150"/>
      <c r="B537" s="150"/>
      <c r="C537" s="151"/>
      <c r="D537" s="150"/>
      <c r="E537" s="152"/>
      <c r="F537" s="153"/>
      <c r="G537" s="154"/>
    </row>
    <row r="538" spans="1:7" s="745" customFormat="1" ht="15" x14ac:dyDescent="0.25">
      <c r="A538" s="1258" t="s">
        <v>116</v>
      </c>
      <c r="B538" s="1258"/>
      <c r="C538" s="155" t="s">
        <v>117</v>
      </c>
      <c r="D538" s="1062" t="s">
        <v>124</v>
      </c>
      <c r="E538" s="157" t="s">
        <v>39</v>
      </c>
      <c r="F538" s="170" t="s">
        <v>126</v>
      </c>
      <c r="G538" s="158" t="s">
        <v>120</v>
      </c>
    </row>
    <row r="539" spans="1:7" s="745" customFormat="1" ht="15" customHeight="1" x14ac:dyDescent="0.25">
      <c r="A539" s="1260" t="s">
        <v>127</v>
      </c>
      <c r="B539" s="1260"/>
      <c r="C539" s="164" t="s">
        <v>128</v>
      </c>
      <c r="D539" s="160"/>
      <c r="E539" s="171"/>
      <c r="F539" s="172"/>
      <c r="G539" s="173">
        <f>G551*0.05</f>
        <v>554.23984000000007</v>
      </c>
    </row>
    <row r="540" spans="1:7" s="745" customFormat="1" ht="15" x14ac:dyDescent="0.25">
      <c r="A540" s="1324" t="s">
        <v>52</v>
      </c>
      <c r="B540" s="1324"/>
      <c r="C540" s="159"/>
      <c r="D540" s="160"/>
      <c r="E540" s="172"/>
      <c r="F540" s="174"/>
      <c r="G540" s="173">
        <f>D540*F540</f>
        <v>0</v>
      </c>
    </row>
    <row r="541" spans="1:7" s="745" customFormat="1" ht="15" x14ac:dyDescent="0.25">
      <c r="A541" s="1325"/>
      <c r="B541" s="1325"/>
      <c r="C541" s="159"/>
      <c r="D541" s="169"/>
      <c r="E541" s="175"/>
      <c r="F541" s="172"/>
      <c r="G541" s="173">
        <f>D541*F541</f>
        <v>0</v>
      </c>
    </row>
    <row r="542" spans="1:7" s="745" customFormat="1" ht="15" x14ac:dyDescent="0.25">
      <c r="A542" s="150"/>
      <c r="B542" s="153"/>
      <c r="C542" s="176"/>
      <c r="D542" s="169"/>
      <c r="E542" s="175"/>
      <c r="F542" s="172"/>
      <c r="G542" s="177"/>
    </row>
    <row r="543" spans="1:7" s="745" customFormat="1" ht="15" x14ac:dyDescent="0.25">
      <c r="A543" s="150"/>
      <c r="B543" s="153"/>
      <c r="C543" s="176"/>
      <c r="D543" s="178"/>
      <c r="E543" s="175"/>
      <c r="F543" s="153"/>
      <c r="G543" s="179"/>
    </row>
    <row r="544" spans="1:7" s="745" customFormat="1" ht="15" x14ac:dyDescent="0.25">
      <c r="A544" s="150"/>
      <c r="B544" s="153"/>
      <c r="C544" s="176"/>
      <c r="D544" s="153"/>
      <c r="E544" s="150"/>
      <c r="F544" s="168" t="s">
        <v>121</v>
      </c>
      <c r="G544" s="177">
        <f>+SUM(G539:G543)</f>
        <v>554.23984000000007</v>
      </c>
    </row>
    <row r="545" spans="1:7" s="745" customFormat="1" ht="15" x14ac:dyDescent="0.25">
      <c r="A545" s="149" t="s">
        <v>130</v>
      </c>
      <c r="B545" s="150"/>
      <c r="C545" s="151"/>
      <c r="D545" s="150"/>
      <c r="E545" s="152"/>
      <c r="F545" s="153"/>
      <c r="G545" s="154"/>
    </row>
    <row r="546" spans="1:7" s="745" customFormat="1" ht="15" x14ac:dyDescent="0.25">
      <c r="A546" s="150"/>
      <c r="B546" s="150"/>
      <c r="C546" s="151"/>
      <c r="D546" s="150"/>
      <c r="E546" s="152"/>
      <c r="F546" s="153"/>
      <c r="G546" s="154"/>
    </row>
    <row r="547" spans="1:7" s="745" customFormat="1" ht="15" x14ac:dyDescent="0.25">
      <c r="A547" s="1258" t="s">
        <v>116</v>
      </c>
      <c r="B547" s="1258"/>
      <c r="C547" s="1062" t="s">
        <v>131</v>
      </c>
      <c r="D547" s="155" t="s">
        <v>132</v>
      </c>
      <c r="E547" s="1062" t="s">
        <v>133</v>
      </c>
      <c r="F547" s="170" t="s">
        <v>126</v>
      </c>
      <c r="G547" s="158" t="s">
        <v>134</v>
      </c>
    </row>
    <row r="548" spans="1:7" s="745" customFormat="1" ht="15" x14ac:dyDescent="0.25">
      <c r="A548" s="150" t="s">
        <v>10</v>
      </c>
      <c r="B548" s="180"/>
      <c r="C548" s="181">
        <f>M2</f>
        <v>22981.8</v>
      </c>
      <c r="D548" s="176">
        <f>N2</f>
        <v>1.76</v>
      </c>
      <c r="E548" s="169">
        <f>C548*D548</f>
        <v>40447.968000000001</v>
      </c>
      <c r="F548" s="172">
        <v>0.1</v>
      </c>
      <c r="G548" s="169">
        <f>E548*F548</f>
        <v>4044.7968000000001</v>
      </c>
    </row>
    <row r="549" spans="1:7" s="745" customFormat="1" ht="15" x14ac:dyDescent="0.25">
      <c r="A549" s="182" t="s">
        <v>140</v>
      </c>
      <c r="B549" s="153"/>
      <c r="C549" s="178">
        <f>M3</f>
        <v>40000</v>
      </c>
      <c r="D549" s="176">
        <f>N3</f>
        <v>1.76</v>
      </c>
      <c r="E549" s="183">
        <f>C549*D549</f>
        <v>70400</v>
      </c>
      <c r="F549" s="172">
        <v>0.1</v>
      </c>
      <c r="G549" s="169">
        <f>E549*F549</f>
        <v>7040</v>
      </c>
    </row>
    <row r="550" spans="1:7" s="745" customFormat="1" ht="15" x14ac:dyDescent="0.25">
      <c r="A550" s="150"/>
      <c r="B550" s="153"/>
      <c r="C550" s="178"/>
      <c r="D550" s="176"/>
      <c r="E550" s="178"/>
      <c r="F550" s="153"/>
      <c r="G550" s="178"/>
    </row>
    <row r="551" spans="1:7" s="745" customFormat="1" ht="15" x14ac:dyDescent="0.25">
      <c r="A551" s="150"/>
      <c r="B551" s="150"/>
      <c r="C551" s="151"/>
      <c r="D551" s="150"/>
      <c r="E551" s="168"/>
      <c r="F551" s="168" t="s">
        <v>121</v>
      </c>
      <c r="G551" s="169">
        <f>+SUM(G548:G550)</f>
        <v>11084.7968</v>
      </c>
    </row>
    <row r="552" spans="1:7" s="745" customFormat="1" ht="15" x14ac:dyDescent="0.25">
      <c r="A552" s="149" t="s">
        <v>135</v>
      </c>
      <c r="B552" s="150"/>
      <c r="C552" s="151"/>
      <c r="D552" s="150"/>
      <c r="E552" s="152"/>
      <c r="F552" s="153"/>
      <c r="G552" s="154"/>
    </row>
    <row r="553" spans="1:7" s="745" customFormat="1" ht="15" x14ac:dyDescent="0.25">
      <c r="A553" s="150"/>
      <c r="B553" s="150"/>
      <c r="C553" s="151"/>
      <c r="D553" s="150"/>
      <c r="E553" s="152"/>
      <c r="F553" s="153"/>
      <c r="G553" s="154"/>
    </row>
    <row r="554" spans="1:7" s="745" customFormat="1" ht="15" x14ac:dyDescent="0.25">
      <c r="A554" s="1258" t="s">
        <v>116</v>
      </c>
      <c r="B554" s="1258"/>
      <c r="C554" s="1062" t="s">
        <v>117</v>
      </c>
      <c r="D554" s="155" t="s">
        <v>136</v>
      </c>
      <c r="E554" s="1062" t="s">
        <v>124</v>
      </c>
      <c r="F554" s="170" t="s">
        <v>126</v>
      </c>
      <c r="G554" s="158" t="s">
        <v>134</v>
      </c>
    </row>
    <row r="555" spans="1:7" s="745" customFormat="1" ht="15" x14ac:dyDescent="0.25">
      <c r="A555" s="150" t="s">
        <v>163</v>
      </c>
      <c r="B555" s="180"/>
      <c r="C555" s="181" t="s">
        <v>117</v>
      </c>
      <c r="D555" s="176">
        <v>1</v>
      </c>
      <c r="E555" s="184">
        <v>1000</v>
      </c>
      <c r="F555" s="172">
        <v>1</v>
      </c>
      <c r="G555" s="169">
        <f>E555*F555</f>
        <v>1000</v>
      </c>
    </row>
    <row r="556" spans="1:7" s="745" customFormat="1" ht="15" x14ac:dyDescent="0.25">
      <c r="A556" s="150"/>
      <c r="B556" s="153"/>
      <c r="C556" s="178"/>
      <c r="D556" s="176"/>
      <c r="E556" s="178"/>
      <c r="F556" s="153"/>
      <c r="G556" s="178"/>
    </row>
    <row r="557" spans="1:7" s="745" customFormat="1" ht="15" x14ac:dyDescent="0.25">
      <c r="A557" s="150"/>
      <c r="B557" s="150"/>
      <c r="C557" s="151"/>
      <c r="D557" s="150"/>
      <c r="E557" s="168"/>
      <c r="F557" s="168" t="s">
        <v>121</v>
      </c>
      <c r="G557" s="169">
        <f>+SUM(G555:G556)</f>
        <v>1000</v>
      </c>
    </row>
    <row r="558" spans="1:7" s="745" customFormat="1" ht="15" x14ac:dyDescent="0.25">
      <c r="A558" s="150"/>
      <c r="B558" s="150"/>
      <c r="C558" s="151"/>
      <c r="D558" s="150"/>
      <c r="E558" s="152"/>
      <c r="F558" s="153"/>
      <c r="G558" s="169"/>
    </row>
    <row r="559" spans="1:7" s="745" customFormat="1" ht="15" x14ac:dyDescent="0.25">
      <c r="A559" s="150"/>
      <c r="B559" s="150"/>
      <c r="C559" s="150"/>
      <c r="D559" s="150"/>
      <c r="E559" s="151"/>
      <c r="F559" s="168" t="s">
        <v>137</v>
      </c>
      <c r="G559" s="185">
        <f>+ROUND(G535+G544+G551,0)</f>
        <v>37159</v>
      </c>
    </row>
    <row r="560" spans="1:7" s="745" customFormat="1" ht="15" x14ac:dyDescent="0.25">
      <c r="A560" s="1330"/>
      <c r="B560" s="1331"/>
      <c r="C560" s="1331"/>
      <c r="D560" s="1331"/>
      <c r="E560" s="1331"/>
      <c r="F560" s="1331"/>
      <c r="G560" s="1332"/>
    </row>
    <row r="561" spans="1:7" s="745" customFormat="1" ht="15" x14ac:dyDescent="0.25">
      <c r="A561" s="145" t="s">
        <v>160</v>
      </c>
      <c r="B561" s="1262" t="s">
        <v>161</v>
      </c>
      <c r="C561" s="1263"/>
      <c r="D561" s="1263"/>
      <c r="E561" s="1263"/>
      <c r="F561" s="1264"/>
      <c r="G561" s="146" t="s">
        <v>2</v>
      </c>
    </row>
    <row r="562" spans="1:7" s="745" customFormat="1" ht="15" customHeight="1" x14ac:dyDescent="0.25">
      <c r="A562" s="186">
        <f>'FORMATO PROPUESTA ECONÓMICA'!A30</f>
        <v>5.4</v>
      </c>
      <c r="B562" s="1270" t="str">
        <f>'FORMATO PROPUESTA ECONÓMICA'!B30</f>
        <v>Reconstruccion de cuneta en concreto de 3000 psi, espesor 0,1 m de espesor. Incluye excavación y lleno con material seleccionado de 0,2 m de espesor.</v>
      </c>
      <c r="C562" s="1271"/>
      <c r="D562" s="1271"/>
      <c r="E562" s="1271"/>
      <c r="F562" s="1272"/>
      <c r="G562" s="187" t="str">
        <f>'FORMATO PROPUESTA ECONÓMICA'!C30</f>
        <v>m</v>
      </c>
    </row>
    <row r="563" spans="1:7" s="745" customFormat="1" ht="15" x14ac:dyDescent="0.25">
      <c r="A563" s="149" t="s">
        <v>115</v>
      </c>
      <c r="B563" s="150"/>
      <c r="C563" s="151"/>
      <c r="D563" s="150"/>
      <c r="E563" s="152"/>
      <c r="F563" s="153"/>
      <c r="G563" s="154"/>
    </row>
    <row r="564" spans="1:7" s="745" customFormat="1" ht="15" x14ac:dyDescent="0.25">
      <c r="A564" s="150"/>
      <c r="B564" s="150"/>
      <c r="C564" s="151"/>
      <c r="D564" s="150"/>
      <c r="E564" s="152"/>
      <c r="F564" s="153"/>
      <c r="G564" s="154"/>
    </row>
    <row r="565" spans="1:7" s="745" customFormat="1" ht="15" x14ac:dyDescent="0.25">
      <c r="A565" s="1258" t="s">
        <v>116</v>
      </c>
      <c r="B565" s="1258"/>
      <c r="C565" s="155" t="s">
        <v>164</v>
      </c>
      <c r="D565" s="157" t="s">
        <v>118</v>
      </c>
      <c r="E565" s="157" t="s">
        <v>39</v>
      </c>
      <c r="F565" s="1062" t="s">
        <v>165</v>
      </c>
      <c r="G565" s="158" t="s">
        <v>120</v>
      </c>
    </row>
    <row r="566" spans="1:7" s="745" customFormat="1" ht="15" customHeight="1" x14ac:dyDescent="0.25">
      <c r="A566" s="1260" t="s">
        <v>166</v>
      </c>
      <c r="B566" s="1260"/>
      <c r="C566" s="159" t="s">
        <v>15</v>
      </c>
      <c r="D566" s="188">
        <v>396373</v>
      </c>
      <c r="E566" s="174">
        <v>7.4999999999999997E-2</v>
      </c>
      <c r="F566" s="174">
        <v>0.05</v>
      </c>
      <c r="G566" s="163">
        <f>D566*E566*1.05</f>
        <v>31214.373749999999</v>
      </c>
    </row>
    <row r="567" spans="1:7" s="745" customFormat="1" ht="15" x14ac:dyDescent="0.25">
      <c r="A567" s="1329" t="s">
        <v>526</v>
      </c>
      <c r="B567" s="1329"/>
      <c r="C567" s="164" t="s">
        <v>15</v>
      </c>
      <c r="D567" s="188">
        <v>60000</v>
      </c>
      <c r="E567" s="161">
        <f>0.6*1.1*0.2</f>
        <v>0.13200000000000001</v>
      </c>
      <c r="F567" s="174">
        <v>0.4</v>
      </c>
      <c r="G567" s="163">
        <f>D567*E567*1.3</f>
        <v>10296</v>
      </c>
    </row>
    <row r="568" spans="1:7" s="745" customFormat="1" ht="15" x14ac:dyDescent="0.25">
      <c r="A568" s="1329" t="s">
        <v>151</v>
      </c>
      <c r="B568" s="1329"/>
      <c r="C568" s="151" t="s">
        <v>15</v>
      </c>
      <c r="D568" s="1115">
        <f>110000*1.16</f>
        <v>127599.99999999999</v>
      </c>
      <c r="E568" s="154">
        <f>0.3*0.6*1.1</f>
        <v>0.19800000000000001</v>
      </c>
      <c r="F568" s="174">
        <v>8</v>
      </c>
      <c r="G568" s="163">
        <f>D568*E568/F568</f>
        <v>3158.1</v>
      </c>
    </row>
    <row r="569" spans="1:7" s="745" customFormat="1" ht="15" x14ac:dyDescent="0.25">
      <c r="A569" s="1116"/>
      <c r="B569" s="1117"/>
      <c r="C569" s="151"/>
      <c r="D569" s="1115"/>
      <c r="E569" s="150"/>
      <c r="F569" s="168" t="s">
        <v>121</v>
      </c>
      <c r="G569" s="169">
        <f>+SUM(G566:G568)</f>
        <v>44668.473749999997</v>
      </c>
    </row>
    <row r="570" spans="1:7" s="745" customFormat="1" ht="15" x14ac:dyDescent="0.25">
      <c r="A570" s="149" t="s">
        <v>122</v>
      </c>
      <c r="B570" s="150"/>
      <c r="C570" s="151"/>
      <c r="D570" s="150"/>
      <c r="E570" s="152"/>
      <c r="F570" s="153"/>
      <c r="G570" s="154"/>
    </row>
    <row r="571" spans="1:7" s="745" customFormat="1" ht="15" x14ac:dyDescent="0.25">
      <c r="A571" s="150"/>
      <c r="B571" s="150"/>
      <c r="C571" s="151"/>
      <c r="D571" s="150"/>
      <c r="E571" s="152"/>
      <c r="F571" s="153"/>
      <c r="G571" s="154"/>
    </row>
    <row r="572" spans="1:7" s="745" customFormat="1" ht="15" x14ac:dyDescent="0.25">
      <c r="A572" s="1258" t="s">
        <v>116</v>
      </c>
      <c r="B572" s="1258"/>
      <c r="C572" s="155" t="s">
        <v>167</v>
      </c>
      <c r="D572" s="157" t="s">
        <v>124</v>
      </c>
      <c r="E572" s="157" t="s">
        <v>39</v>
      </c>
      <c r="F572" s="170" t="s">
        <v>126</v>
      </c>
      <c r="G572" s="158" t="s">
        <v>120</v>
      </c>
    </row>
    <row r="573" spans="1:7" s="745" customFormat="1" ht="15" customHeight="1" x14ac:dyDescent="0.25">
      <c r="A573" s="1260" t="s">
        <v>127</v>
      </c>
      <c r="B573" s="1260"/>
      <c r="C573" s="164" t="s">
        <v>128</v>
      </c>
      <c r="D573" s="160"/>
      <c r="E573" s="171"/>
      <c r="F573" s="172"/>
      <c r="G573" s="173">
        <f>G585*0.05</f>
        <v>1389.05385</v>
      </c>
    </row>
    <row r="574" spans="1:7" s="745" customFormat="1" ht="15" x14ac:dyDescent="0.25">
      <c r="A574" s="1324" t="s">
        <v>52</v>
      </c>
      <c r="B574" s="1324"/>
      <c r="C574" s="159" t="s">
        <v>168</v>
      </c>
      <c r="D574" s="188">
        <v>15000</v>
      </c>
      <c r="E574" s="172">
        <v>1</v>
      </c>
      <c r="F574" s="174">
        <v>2</v>
      </c>
      <c r="G574" s="173">
        <f>D574/F574</f>
        <v>7500</v>
      </c>
    </row>
    <row r="575" spans="1:7" s="745" customFormat="1" ht="15" x14ac:dyDescent="0.25">
      <c r="A575" s="1325"/>
      <c r="B575" s="1325"/>
      <c r="C575" s="159"/>
      <c r="D575" s="169"/>
      <c r="E575" s="175"/>
      <c r="F575" s="172"/>
      <c r="G575" s="173">
        <f>D575*F575</f>
        <v>0</v>
      </c>
    </row>
    <row r="576" spans="1:7" s="745" customFormat="1" ht="15" x14ac:dyDescent="0.25">
      <c r="A576" s="150"/>
      <c r="B576" s="153"/>
      <c r="C576" s="176"/>
      <c r="D576" s="169"/>
      <c r="E576" s="175"/>
      <c r="F576" s="172"/>
      <c r="G576" s="177"/>
    </row>
    <row r="577" spans="1:7" s="745" customFormat="1" ht="15" x14ac:dyDescent="0.25">
      <c r="A577" s="150"/>
      <c r="B577" s="153"/>
      <c r="C577" s="176"/>
      <c r="D577" s="178"/>
      <c r="E577" s="175"/>
      <c r="F577" s="153"/>
      <c r="G577" s="179"/>
    </row>
    <row r="578" spans="1:7" s="745" customFormat="1" ht="15" x14ac:dyDescent="0.25">
      <c r="A578" s="150"/>
      <c r="B578" s="153"/>
      <c r="C578" s="176"/>
      <c r="D578" s="153"/>
      <c r="E578" s="150"/>
      <c r="F578" s="168" t="s">
        <v>121</v>
      </c>
      <c r="G578" s="177">
        <f>+SUM(G573:G577)</f>
        <v>8889.0538500000002</v>
      </c>
    </row>
    <row r="579" spans="1:7" s="745" customFormat="1" ht="15" x14ac:dyDescent="0.25">
      <c r="A579" s="149" t="s">
        <v>130</v>
      </c>
      <c r="B579" s="150"/>
      <c r="C579" s="151"/>
      <c r="D579" s="150"/>
      <c r="E579" s="152"/>
      <c r="F579" s="153"/>
      <c r="G579" s="154"/>
    </row>
    <row r="580" spans="1:7" s="745" customFormat="1" ht="15" x14ac:dyDescent="0.25">
      <c r="A580" s="150"/>
      <c r="B580" s="150"/>
      <c r="C580" s="151"/>
      <c r="D580" s="150"/>
      <c r="E580" s="152"/>
      <c r="F580" s="153"/>
      <c r="G580" s="154"/>
    </row>
    <row r="581" spans="1:7" s="745" customFormat="1" ht="15" x14ac:dyDescent="0.25">
      <c r="A581" s="1258" t="s">
        <v>116</v>
      </c>
      <c r="B581" s="1258"/>
      <c r="C581" s="1062" t="s">
        <v>131</v>
      </c>
      <c r="D581" s="155" t="s">
        <v>132</v>
      </c>
      <c r="E581" s="1062" t="s">
        <v>133</v>
      </c>
      <c r="F581" s="170" t="s">
        <v>126</v>
      </c>
      <c r="G581" s="158" t="s">
        <v>134</v>
      </c>
    </row>
    <row r="582" spans="1:7" s="745" customFormat="1" ht="15" x14ac:dyDescent="0.25">
      <c r="A582" s="150" t="s">
        <v>10</v>
      </c>
      <c r="B582" s="180"/>
      <c r="C582" s="181">
        <f>3*689454/30</f>
        <v>68945.399999999994</v>
      </c>
      <c r="D582" s="176">
        <v>1.7</v>
      </c>
      <c r="E582" s="169">
        <f>C582*D582</f>
        <v>117207.18</v>
      </c>
      <c r="F582" s="172">
        <v>0.15</v>
      </c>
      <c r="G582" s="169">
        <f>E582*F582</f>
        <v>17581.076999999997</v>
      </c>
    </row>
    <row r="583" spans="1:7" s="745" customFormat="1" ht="15" x14ac:dyDescent="0.25">
      <c r="A583" s="182" t="s">
        <v>140</v>
      </c>
      <c r="B583" s="153"/>
      <c r="C583" s="178">
        <v>40000</v>
      </c>
      <c r="D583" s="176">
        <v>1.7</v>
      </c>
      <c r="E583" s="183">
        <f>C583*D583</f>
        <v>68000</v>
      </c>
      <c r="F583" s="172">
        <v>0.15</v>
      </c>
      <c r="G583" s="169">
        <f>E583*F583</f>
        <v>10200</v>
      </c>
    </row>
    <row r="584" spans="1:7" s="745" customFormat="1" ht="15" x14ac:dyDescent="0.25">
      <c r="A584" s="150"/>
      <c r="B584" s="153"/>
      <c r="C584" s="178"/>
      <c r="D584" s="176"/>
      <c r="E584" s="178"/>
      <c r="F584" s="153"/>
      <c r="G584" s="178"/>
    </row>
    <row r="585" spans="1:7" s="745" customFormat="1" ht="15" x14ac:dyDescent="0.25">
      <c r="A585" s="150"/>
      <c r="B585" s="150"/>
      <c r="C585" s="151"/>
      <c r="D585" s="150"/>
      <c r="E585" s="168"/>
      <c r="F585" s="168" t="s">
        <v>121</v>
      </c>
      <c r="G585" s="169">
        <f>+SUM(G582:G584)</f>
        <v>27781.076999999997</v>
      </c>
    </row>
    <row r="586" spans="1:7" s="745" customFormat="1" ht="15" x14ac:dyDescent="0.25">
      <c r="A586" s="149" t="s">
        <v>135</v>
      </c>
      <c r="B586" s="150"/>
      <c r="C586" s="151"/>
      <c r="D586" s="150"/>
      <c r="E586" s="152"/>
      <c r="F586" s="153"/>
      <c r="G586" s="154"/>
    </row>
    <row r="587" spans="1:7" s="745" customFormat="1" ht="15" x14ac:dyDescent="0.25">
      <c r="A587" s="150"/>
      <c r="B587" s="150"/>
      <c r="C587" s="151"/>
      <c r="D587" s="150"/>
      <c r="E587" s="152"/>
      <c r="F587" s="153"/>
      <c r="G587" s="154"/>
    </row>
    <row r="588" spans="1:7" s="745" customFormat="1" ht="15" x14ac:dyDescent="0.25">
      <c r="A588" s="1258" t="s">
        <v>116</v>
      </c>
      <c r="B588" s="1258"/>
      <c r="C588" s="1062" t="s">
        <v>117</v>
      </c>
      <c r="D588" s="155" t="s">
        <v>136</v>
      </c>
      <c r="E588" s="1062" t="s">
        <v>124</v>
      </c>
      <c r="F588" s="170" t="s">
        <v>126</v>
      </c>
      <c r="G588" s="158" t="s">
        <v>134</v>
      </c>
    </row>
    <row r="589" spans="1:7" s="745" customFormat="1" ht="15" x14ac:dyDescent="0.25">
      <c r="A589" s="150"/>
      <c r="B589" s="180"/>
      <c r="C589" s="181"/>
      <c r="D589" s="176"/>
      <c r="E589" s="184"/>
      <c r="F589" s="172"/>
      <c r="G589" s="169">
        <f>E589*F589</f>
        <v>0</v>
      </c>
    </row>
    <row r="590" spans="1:7" s="745" customFormat="1" ht="15" x14ac:dyDescent="0.25">
      <c r="A590" s="150"/>
      <c r="B590" s="153"/>
      <c r="C590" s="178"/>
      <c r="D590" s="176"/>
      <c r="E590" s="178"/>
      <c r="F590" s="153"/>
      <c r="G590" s="178"/>
    </row>
    <row r="591" spans="1:7" s="745" customFormat="1" ht="15" x14ac:dyDescent="0.25">
      <c r="A591" s="150"/>
      <c r="B591" s="150"/>
      <c r="C591" s="151"/>
      <c r="D591" s="150"/>
      <c r="E591" s="168"/>
      <c r="F591" s="168" t="s">
        <v>121</v>
      </c>
      <c r="G591" s="169">
        <f>+SUM(G589:G590)</f>
        <v>0</v>
      </c>
    </row>
    <row r="592" spans="1:7" s="745" customFormat="1" ht="15" x14ac:dyDescent="0.25">
      <c r="A592" s="150"/>
      <c r="B592" s="150"/>
      <c r="C592" s="151"/>
      <c r="D592" s="150"/>
      <c r="E592" s="152"/>
      <c r="F592" s="153"/>
      <c r="G592" s="169"/>
    </row>
    <row r="593" spans="1:7" s="745" customFormat="1" ht="15" x14ac:dyDescent="0.25">
      <c r="A593" s="150"/>
      <c r="B593" s="150"/>
      <c r="C593" s="150"/>
      <c r="D593" s="150"/>
      <c r="E593" s="151"/>
      <c r="F593" s="168" t="s">
        <v>137</v>
      </c>
      <c r="G593" s="185">
        <f>+ROUND(G569+G578+G585,0)</f>
        <v>81339</v>
      </c>
    </row>
    <row r="595" spans="1:7" ht="15" x14ac:dyDescent="0.25">
      <c r="A595" s="50" t="s">
        <v>114</v>
      </c>
      <c r="B595" s="1334" t="s">
        <v>1</v>
      </c>
      <c r="C595" s="1334"/>
      <c r="D595" s="1334"/>
      <c r="E595" s="1334"/>
      <c r="F595" s="1334"/>
      <c r="G595" s="51" t="s">
        <v>2</v>
      </c>
    </row>
    <row r="596" spans="1:7" ht="15" customHeight="1" x14ac:dyDescent="0.25">
      <c r="A596" s="51">
        <f>'FORMATO PROPUESTA ECONÓMICA'!A31</f>
        <v>5.5</v>
      </c>
      <c r="B596" s="1335" t="str">
        <f>'FORMATO PROPUESTA ECONÓMICA'!B31</f>
        <v>Retiro y colocación de adoquines</v>
      </c>
      <c r="C596" s="1336"/>
      <c r="D596" s="1336"/>
      <c r="E596" s="1336"/>
      <c r="F596" s="1337"/>
      <c r="G596" s="52" t="str">
        <f>'FORMATO PROPUESTA ECONÓMICA'!C31</f>
        <v>m2</v>
      </c>
    </row>
    <row r="597" spans="1:7" ht="15" x14ac:dyDescent="0.25">
      <c r="A597" s="53" t="s">
        <v>115</v>
      </c>
      <c r="B597" s="54"/>
      <c r="C597" s="55"/>
      <c r="D597" s="54"/>
      <c r="E597" s="56"/>
      <c r="F597" s="54"/>
      <c r="G597" s="57"/>
    </row>
    <row r="598" spans="1:7" ht="15" x14ac:dyDescent="0.25">
      <c r="A598" s="58"/>
      <c r="B598" s="54"/>
      <c r="C598" s="55"/>
      <c r="D598" s="54"/>
      <c r="E598" s="56"/>
      <c r="F598" s="54"/>
      <c r="G598" s="57"/>
    </row>
    <row r="599" spans="1:7" ht="15" x14ac:dyDescent="0.25">
      <c r="A599" s="1304" t="s">
        <v>116</v>
      </c>
      <c r="B599" s="1305"/>
      <c r="C599" s="59" t="s">
        <v>117</v>
      </c>
      <c r="D599" s="1085" t="s">
        <v>118</v>
      </c>
      <c r="E599" s="60" t="s">
        <v>39</v>
      </c>
      <c r="F599" s="1085" t="s">
        <v>119</v>
      </c>
      <c r="G599" s="61" t="s">
        <v>120</v>
      </c>
    </row>
    <row r="600" spans="1:7" ht="15" customHeight="1" x14ac:dyDescent="0.25">
      <c r="A600" s="1308" t="s">
        <v>169</v>
      </c>
      <c r="B600" s="1309"/>
      <c r="C600" s="189" t="s">
        <v>15</v>
      </c>
      <c r="D600" s="190">
        <v>67600</v>
      </c>
      <c r="E600" s="64">
        <v>7.0000000000000007E-2</v>
      </c>
      <c r="F600" s="191"/>
      <c r="G600" s="66">
        <f>D600*E600*1.05</f>
        <v>4968.6000000000004</v>
      </c>
    </row>
    <row r="601" spans="1:7" ht="15" customHeight="1" x14ac:dyDescent="0.25">
      <c r="A601" s="1333" t="s">
        <v>170</v>
      </c>
      <c r="B601" s="1309"/>
      <c r="C601" s="90" t="s">
        <v>15</v>
      </c>
      <c r="D601" s="192">
        <v>85000</v>
      </c>
      <c r="E601" s="69">
        <v>0.01</v>
      </c>
      <c r="F601" s="191"/>
      <c r="G601" s="71">
        <f>D601*E601</f>
        <v>850</v>
      </c>
    </row>
    <row r="602" spans="1:7" ht="15" x14ac:dyDescent="0.25">
      <c r="A602" s="1333"/>
      <c r="B602" s="1309"/>
      <c r="C602" s="193"/>
      <c r="D602" s="190"/>
      <c r="E602" s="69"/>
      <c r="F602" s="191"/>
      <c r="G602" s="71">
        <f>D602*E602</f>
        <v>0</v>
      </c>
    </row>
    <row r="603" spans="1:7" ht="15" x14ac:dyDescent="0.25">
      <c r="A603" s="1333"/>
      <c r="B603" s="1309"/>
      <c r="C603" s="90"/>
      <c r="D603" s="192"/>
      <c r="E603" s="69"/>
      <c r="F603" s="191"/>
      <c r="G603" s="71">
        <f>D603*E603</f>
        <v>0</v>
      </c>
    </row>
    <row r="604" spans="1:7" ht="15" x14ac:dyDescent="0.25">
      <c r="A604" s="1333"/>
      <c r="B604" s="1309"/>
      <c r="C604" s="193"/>
      <c r="D604" s="192"/>
      <c r="E604" s="69"/>
      <c r="F604" s="194"/>
      <c r="G604" s="71">
        <f>D604*E604</f>
        <v>0</v>
      </c>
    </row>
    <row r="605" spans="1:7" ht="15" x14ac:dyDescent="0.25">
      <c r="A605" s="1310"/>
      <c r="B605" s="1311"/>
      <c r="C605" s="195"/>
      <c r="D605" s="196"/>
      <c r="E605" s="142"/>
      <c r="F605" s="197"/>
      <c r="G605" s="76"/>
    </row>
    <row r="606" spans="1:7" ht="15" x14ac:dyDescent="0.25">
      <c r="A606" s="1061"/>
      <c r="B606" s="77"/>
      <c r="C606" s="55"/>
      <c r="D606" s="54"/>
      <c r="E606" s="130"/>
      <c r="F606" s="79" t="s">
        <v>121</v>
      </c>
      <c r="G606" s="80">
        <f>+SUM(G600:G604)</f>
        <v>5818.6</v>
      </c>
    </row>
    <row r="607" spans="1:7" ht="15" x14ac:dyDescent="0.25">
      <c r="A607" s="53" t="s">
        <v>122</v>
      </c>
      <c r="B607" s="54"/>
      <c r="C607" s="55" t="s">
        <v>123</v>
      </c>
      <c r="D607" s="54"/>
      <c r="E607" s="56"/>
      <c r="F607" s="54"/>
      <c r="G607" s="57"/>
    </row>
    <row r="608" spans="1:7" ht="15" x14ac:dyDescent="0.25">
      <c r="A608" s="58"/>
      <c r="B608" s="54"/>
      <c r="C608" s="55"/>
      <c r="D608" s="54"/>
      <c r="E608" s="56"/>
      <c r="F608" s="54"/>
      <c r="G608" s="57"/>
    </row>
    <row r="609" spans="1:7" ht="15" x14ac:dyDescent="0.25">
      <c r="A609" s="1302" t="s">
        <v>116</v>
      </c>
      <c r="B609" s="1303"/>
      <c r="C609" s="81" t="s">
        <v>117</v>
      </c>
      <c r="D609" s="82" t="s">
        <v>124</v>
      </c>
      <c r="E609" s="82" t="s">
        <v>125</v>
      </c>
      <c r="F609" s="83" t="s">
        <v>126</v>
      </c>
      <c r="G609" s="84" t="s">
        <v>120</v>
      </c>
    </row>
    <row r="610" spans="1:7" ht="15" customHeight="1" x14ac:dyDescent="0.25">
      <c r="A610" s="1287" t="s">
        <v>127</v>
      </c>
      <c r="B610" s="1288"/>
      <c r="C610" s="85" t="s">
        <v>128</v>
      </c>
      <c r="D610" s="86"/>
      <c r="E610" s="87"/>
      <c r="F610" s="88"/>
      <c r="G610" s="89">
        <f>G620*0.05</f>
        <v>1512.9593600000001</v>
      </c>
    </row>
    <row r="611" spans="1:7" ht="15" customHeight="1" x14ac:dyDescent="0.25">
      <c r="A611" s="1333" t="s">
        <v>171</v>
      </c>
      <c r="B611" s="1309"/>
      <c r="C611" s="193" t="s">
        <v>172</v>
      </c>
      <c r="D611" s="198">
        <v>45000</v>
      </c>
      <c r="E611" s="69"/>
      <c r="F611" s="93">
        <v>8</v>
      </c>
      <c r="G611" s="89">
        <f>D611/F611</f>
        <v>5625</v>
      </c>
    </row>
    <row r="612" spans="1:7" ht="15" x14ac:dyDescent="0.25">
      <c r="A612" s="1312"/>
      <c r="B612" s="1313"/>
      <c r="C612" s="90"/>
      <c r="D612" s="131"/>
      <c r="E612" s="138"/>
      <c r="F612" s="88"/>
      <c r="G612" s="89"/>
    </row>
    <row r="613" spans="1:7" ht="15" x14ac:dyDescent="0.25">
      <c r="A613" s="96"/>
      <c r="B613" s="97"/>
      <c r="C613" s="98"/>
      <c r="D613" s="99"/>
      <c r="E613" s="100"/>
      <c r="F613" s="101"/>
      <c r="G613" s="102"/>
    </row>
    <row r="614" spans="1:7" ht="15" x14ac:dyDescent="0.25">
      <c r="A614" s="58"/>
      <c r="B614" s="54"/>
      <c r="C614" s="55"/>
      <c r="D614" s="54"/>
      <c r="E614" s="130"/>
      <c r="F614" s="103" t="s">
        <v>121</v>
      </c>
      <c r="G614" s="104">
        <f>+SUM(G610:G613)</f>
        <v>7137.9593599999998</v>
      </c>
    </row>
    <row r="615" spans="1:7" ht="15" x14ac:dyDescent="0.25">
      <c r="A615" s="53" t="s">
        <v>130</v>
      </c>
      <c r="B615" s="54"/>
      <c r="C615" s="55"/>
      <c r="D615" s="54"/>
      <c r="E615" s="56"/>
      <c r="F615" s="54"/>
      <c r="G615" s="57"/>
    </row>
    <row r="616" spans="1:7" ht="15" x14ac:dyDescent="0.25">
      <c r="A616" s="58"/>
      <c r="B616" s="54"/>
      <c r="C616" s="55"/>
      <c r="D616" s="54"/>
      <c r="E616" s="56"/>
      <c r="F616" s="54"/>
      <c r="G616" s="57"/>
    </row>
    <row r="617" spans="1:7" ht="15" x14ac:dyDescent="0.25">
      <c r="A617" s="1302" t="s">
        <v>116</v>
      </c>
      <c r="B617" s="1303"/>
      <c r="C617" s="82" t="s">
        <v>131</v>
      </c>
      <c r="D617" s="81" t="s">
        <v>132</v>
      </c>
      <c r="E617" s="82" t="s">
        <v>133</v>
      </c>
      <c r="F617" s="83" t="s">
        <v>126</v>
      </c>
      <c r="G617" s="84" t="s">
        <v>134</v>
      </c>
    </row>
    <row r="618" spans="1:7" ht="15" x14ac:dyDescent="0.25">
      <c r="A618" s="58" t="s">
        <v>155</v>
      </c>
      <c r="B618" s="136"/>
      <c r="C618" s="106">
        <f>M3</f>
        <v>40000</v>
      </c>
      <c r="D618" s="107">
        <f>N3</f>
        <v>1.76</v>
      </c>
      <c r="E618" s="108">
        <f>D618*C618</f>
        <v>70400</v>
      </c>
      <c r="F618" s="88">
        <v>5</v>
      </c>
      <c r="G618" s="109">
        <f>E618/F618</f>
        <v>14080</v>
      </c>
    </row>
    <row r="619" spans="1:7" ht="15" x14ac:dyDescent="0.25">
      <c r="A619" s="120" t="s">
        <v>10</v>
      </c>
      <c r="B619" s="199"/>
      <c r="C619" s="200">
        <f>M2*2</f>
        <v>45963.6</v>
      </c>
      <c r="D619" s="201">
        <f>N2</f>
        <v>1.76</v>
      </c>
      <c r="E619" s="202">
        <f>D619*C619</f>
        <v>80895.936000000002</v>
      </c>
      <c r="F619" s="88">
        <v>5</v>
      </c>
      <c r="G619" s="109">
        <f>E619/F619</f>
        <v>16179.1872</v>
      </c>
    </row>
    <row r="620" spans="1:7" ht="15" x14ac:dyDescent="0.25">
      <c r="A620" s="58"/>
      <c r="B620" s="54"/>
      <c r="C620" s="55"/>
      <c r="D620" s="130"/>
      <c r="E620" s="103"/>
      <c r="F620" s="117" t="s">
        <v>121</v>
      </c>
      <c r="G620" s="118">
        <f>+SUM(G618:G619)</f>
        <v>30259.1872</v>
      </c>
    </row>
    <row r="621" spans="1:7" ht="15" x14ac:dyDescent="0.25">
      <c r="A621" s="53" t="s">
        <v>135</v>
      </c>
      <c r="B621" s="54"/>
      <c r="C621" s="55"/>
      <c r="D621" s="54"/>
      <c r="E621" s="56"/>
      <c r="F621" s="54"/>
      <c r="G621" s="57"/>
    </row>
    <row r="622" spans="1:7" ht="15" x14ac:dyDescent="0.25">
      <c r="A622" s="58"/>
      <c r="B622" s="54"/>
      <c r="C622" s="55"/>
      <c r="D622" s="54"/>
      <c r="E622" s="56"/>
      <c r="F622" s="54"/>
      <c r="G622" s="57"/>
    </row>
    <row r="623" spans="1:7" ht="15" x14ac:dyDescent="0.25">
      <c r="A623" s="1302" t="s">
        <v>116</v>
      </c>
      <c r="B623" s="1303"/>
      <c r="C623" s="82" t="s">
        <v>117</v>
      </c>
      <c r="D623" s="81" t="s">
        <v>136</v>
      </c>
      <c r="E623" s="82" t="s">
        <v>124</v>
      </c>
      <c r="F623" s="83" t="s">
        <v>126</v>
      </c>
      <c r="G623" s="84" t="s">
        <v>134</v>
      </c>
    </row>
    <row r="624" spans="1:7" ht="15" x14ac:dyDescent="0.25">
      <c r="A624" s="1339" t="s">
        <v>173</v>
      </c>
      <c r="B624" s="1340"/>
      <c r="C624" s="203"/>
      <c r="D624" s="204">
        <v>1</v>
      </c>
      <c r="E624" s="108">
        <v>2000</v>
      </c>
      <c r="F624" s="88">
        <v>0.5</v>
      </c>
      <c r="G624" s="109">
        <f>E624*F624</f>
        <v>1000</v>
      </c>
    </row>
    <row r="625" spans="1:7" ht="15" x14ac:dyDescent="0.25">
      <c r="A625" s="205"/>
      <c r="B625" s="206"/>
      <c r="C625" s="55"/>
      <c r="D625" s="130"/>
      <c r="E625" s="117"/>
      <c r="F625" s="117" t="s">
        <v>121</v>
      </c>
      <c r="G625" s="118">
        <f>+SUM(G624:G624)</f>
        <v>1000</v>
      </c>
    </row>
    <row r="626" spans="1:7" ht="15" x14ac:dyDescent="0.25">
      <c r="A626" s="58"/>
      <c r="B626" s="54"/>
      <c r="C626" s="55"/>
      <c r="D626" s="54"/>
      <c r="E626" s="56"/>
      <c r="F626" s="54"/>
      <c r="G626" s="119"/>
    </row>
    <row r="627" spans="1:7" ht="15" x14ac:dyDescent="0.25">
      <c r="A627" s="120"/>
      <c r="B627" s="121"/>
      <c r="C627" s="121"/>
      <c r="D627" s="121"/>
      <c r="E627" s="123"/>
      <c r="F627" s="124" t="s">
        <v>137</v>
      </c>
      <c r="G627" s="125">
        <f>+ROUND(G606+G614+G620,0)</f>
        <v>43216</v>
      </c>
    </row>
    <row r="628" spans="1:7" ht="15" x14ac:dyDescent="0.25">
      <c r="A628" s="120"/>
      <c r="B628" s="121"/>
      <c r="C628" s="121"/>
      <c r="D628" s="121"/>
      <c r="E628" s="123"/>
      <c r="F628" s="124"/>
      <c r="G628" s="207"/>
    </row>
    <row r="629" spans="1:7" s="1088" customFormat="1" ht="15" x14ac:dyDescent="0.25">
      <c r="A629" s="145" t="s">
        <v>160</v>
      </c>
      <c r="B629" s="1262" t="s">
        <v>161</v>
      </c>
      <c r="C629" s="1263"/>
      <c r="D629" s="1263"/>
      <c r="E629" s="1263"/>
      <c r="F629" s="1264"/>
      <c r="G629" s="146" t="s">
        <v>2</v>
      </c>
    </row>
    <row r="630" spans="1:7" s="1088" customFormat="1" ht="15" customHeight="1" x14ac:dyDescent="0.25">
      <c r="A630" s="208">
        <f>'FORMATO PROPUESTA ECONÓMICA'!A33</f>
        <v>6.1</v>
      </c>
      <c r="B630" s="1265" t="str">
        <f>'FORMATO PROPUESTA ECONÓMICA'!B33</f>
        <v xml:space="preserve">Tubería de polietileno para acueducto PE 100 PN 10, Øint. 55.4 mm, (63 mm). </v>
      </c>
      <c r="C630" s="1266"/>
      <c r="D630" s="1266"/>
      <c r="E630" s="1266"/>
      <c r="F630" s="1267"/>
      <c r="G630" s="187" t="str">
        <f>'FORMATO PROPUESTA ECONÓMICA'!C33</f>
        <v>m</v>
      </c>
    </row>
    <row r="631" spans="1:7" s="1088" customFormat="1" ht="14.25" x14ac:dyDescent="0.2">
      <c r="A631" s="209"/>
      <c r="B631" s="210"/>
      <c r="C631" s="211"/>
      <c r="D631" s="212"/>
      <c r="E631" s="213"/>
      <c r="F631" s="214"/>
      <c r="G631" s="215"/>
    </row>
    <row r="632" spans="1:7" s="1088" customFormat="1" ht="15" x14ac:dyDescent="0.25">
      <c r="A632" s="216" t="s">
        <v>115</v>
      </c>
      <c r="B632" s="212"/>
      <c r="C632" s="211"/>
      <c r="D632" s="212"/>
      <c r="E632" s="213"/>
      <c r="F632" s="214"/>
      <c r="G632" s="215"/>
    </row>
    <row r="633" spans="1:7" s="1088" customFormat="1" ht="14.25" x14ac:dyDescent="0.2">
      <c r="A633" s="209"/>
      <c r="B633" s="212"/>
      <c r="C633" s="211"/>
      <c r="D633" s="212"/>
      <c r="E633" s="213"/>
      <c r="F633" s="214"/>
      <c r="G633" s="215"/>
    </row>
    <row r="634" spans="1:7" s="1088" customFormat="1" ht="15" x14ac:dyDescent="0.25">
      <c r="A634" s="1262" t="s">
        <v>116</v>
      </c>
      <c r="B634" s="1264"/>
      <c r="C634" s="217" t="s">
        <v>117</v>
      </c>
      <c r="D634" s="1075" t="s">
        <v>118</v>
      </c>
      <c r="E634" s="218" t="s">
        <v>39</v>
      </c>
      <c r="F634" s="1075" t="s">
        <v>119</v>
      </c>
      <c r="G634" s="219" t="s">
        <v>120</v>
      </c>
    </row>
    <row r="635" spans="1:7" s="1088" customFormat="1" ht="14.25" x14ac:dyDescent="0.2">
      <c r="A635" s="1322"/>
      <c r="B635" s="1338"/>
      <c r="C635" s="220"/>
      <c r="D635" s="221"/>
      <c r="E635" s="222"/>
      <c r="F635" s="223"/>
      <c r="G635" s="224">
        <f>D635*(E635+F635)</f>
        <v>0</v>
      </c>
    </row>
    <row r="636" spans="1:7" s="1088" customFormat="1" ht="14.25" x14ac:dyDescent="0.2">
      <c r="A636" s="1280"/>
      <c r="B636" s="1281"/>
      <c r="C636" s="225"/>
      <c r="D636" s="221"/>
      <c r="E636" s="226"/>
      <c r="F636" s="227"/>
      <c r="G636" s="228">
        <f>D636*E636</f>
        <v>0</v>
      </c>
    </row>
    <row r="637" spans="1:7" s="1088" customFormat="1" ht="14.25" x14ac:dyDescent="0.2">
      <c r="A637" s="1280"/>
      <c r="B637" s="1281"/>
      <c r="C637" s="229"/>
      <c r="D637" s="221"/>
      <c r="E637" s="226"/>
      <c r="F637" s="227"/>
      <c r="G637" s="228">
        <f>D637*E637</f>
        <v>0</v>
      </c>
    </row>
    <row r="638" spans="1:7" s="1088" customFormat="1" ht="14.25" x14ac:dyDescent="0.2">
      <c r="A638" s="1280"/>
      <c r="B638" s="1281"/>
      <c r="C638" s="225"/>
      <c r="D638" s="221"/>
      <c r="E638" s="226"/>
      <c r="F638" s="227"/>
      <c r="G638" s="228">
        <f>D638*E638</f>
        <v>0</v>
      </c>
    </row>
    <row r="639" spans="1:7" s="1088" customFormat="1" ht="14.25" x14ac:dyDescent="0.2">
      <c r="A639" s="1069"/>
      <c r="B639" s="1070"/>
      <c r="C639" s="230"/>
      <c r="D639" s="231"/>
      <c r="E639" s="232"/>
      <c r="F639" s="233"/>
      <c r="G639" s="228">
        <f>D639*E639</f>
        <v>0</v>
      </c>
    </row>
    <row r="640" spans="1:7" s="1088" customFormat="1" ht="15" x14ac:dyDescent="0.25">
      <c r="A640" s="1073"/>
      <c r="B640" s="210"/>
      <c r="C640" s="211"/>
      <c r="D640" s="212"/>
      <c r="E640" s="212"/>
      <c r="F640" s="234" t="s">
        <v>121</v>
      </c>
      <c r="G640" s="231">
        <f>+SUM(G635:G639)</f>
        <v>0</v>
      </c>
    </row>
    <row r="641" spans="1:9" s="1088" customFormat="1" ht="14.25" x14ac:dyDescent="0.2">
      <c r="A641" s="209"/>
      <c r="B641" s="212"/>
      <c r="C641" s="211" t="s">
        <v>123</v>
      </c>
      <c r="D641" s="212"/>
      <c r="E641" s="213"/>
      <c r="F641" s="214"/>
      <c r="G641" s="215"/>
    </row>
    <row r="642" spans="1:9" s="1088" customFormat="1" ht="15" x14ac:dyDescent="0.25">
      <c r="A642" s="216" t="s">
        <v>122</v>
      </c>
      <c r="B642" s="212"/>
      <c r="C642" s="211" t="s">
        <v>123</v>
      </c>
      <c r="D642" s="212"/>
      <c r="E642" s="213"/>
      <c r="F642" s="214"/>
      <c r="G642" s="215"/>
    </row>
    <row r="643" spans="1:9" s="1088" customFormat="1" ht="14.25" x14ac:dyDescent="0.2">
      <c r="A643" s="209"/>
      <c r="B643" s="212"/>
      <c r="C643" s="211"/>
      <c r="D643" s="212"/>
      <c r="E643" s="213"/>
      <c r="F643" s="214"/>
      <c r="G643" s="215"/>
    </row>
    <row r="644" spans="1:9" s="1088" customFormat="1" ht="15" x14ac:dyDescent="0.25">
      <c r="A644" s="1071" t="s">
        <v>116</v>
      </c>
      <c r="B644" s="1072"/>
      <c r="C644" s="235" t="s">
        <v>117</v>
      </c>
      <c r="D644" s="236" t="s">
        <v>124</v>
      </c>
      <c r="E644" s="236" t="s">
        <v>125</v>
      </c>
      <c r="F644" s="237" t="s">
        <v>126</v>
      </c>
      <c r="G644" s="238" t="s">
        <v>120</v>
      </c>
    </row>
    <row r="645" spans="1:9" s="1088" customFormat="1" ht="28.5" x14ac:dyDescent="0.2">
      <c r="A645" s="1066" t="s">
        <v>127</v>
      </c>
      <c r="B645" s="1067"/>
      <c r="C645" s="239" t="s">
        <v>128</v>
      </c>
      <c r="D645" s="240"/>
      <c r="E645" s="241"/>
      <c r="F645" s="222"/>
      <c r="G645" s="242">
        <f>G659*0.05</f>
        <v>55.423983999999997</v>
      </c>
    </row>
    <row r="646" spans="1:9" s="1088" customFormat="1" ht="14.25" x14ac:dyDescent="0.2">
      <c r="A646" s="1073" t="s">
        <v>174</v>
      </c>
      <c r="B646" s="1074"/>
      <c r="C646" s="243">
        <v>1</v>
      </c>
      <c r="D646" s="221">
        <v>450000</v>
      </c>
      <c r="E646" s="244"/>
      <c r="F646" s="222">
        <v>60</v>
      </c>
      <c r="G646" s="224">
        <f>D646/F646</f>
        <v>7500</v>
      </c>
    </row>
    <row r="647" spans="1:9" s="1088" customFormat="1" ht="14.25" x14ac:dyDescent="0.2">
      <c r="A647" s="1073"/>
      <c r="B647" s="1074"/>
      <c r="C647" s="243"/>
      <c r="D647" s="221"/>
      <c r="E647" s="244"/>
      <c r="F647" s="222"/>
      <c r="G647" s="224"/>
    </row>
    <row r="648" spans="1:9" s="1088" customFormat="1" ht="14.25" x14ac:dyDescent="0.2">
      <c r="A648" s="209"/>
      <c r="B648" s="245"/>
      <c r="C648" s="246"/>
      <c r="D648" s="221"/>
      <c r="E648" s="247"/>
      <c r="F648" s="222"/>
      <c r="G648" s="248"/>
    </row>
    <row r="649" spans="1:9" s="1088" customFormat="1" ht="14.25" x14ac:dyDescent="0.2">
      <c r="A649" s="249"/>
      <c r="B649" s="250"/>
      <c r="C649" s="251"/>
      <c r="D649" s="252"/>
      <c r="E649" s="253"/>
      <c r="F649" s="254"/>
      <c r="G649" s="255"/>
    </row>
    <row r="650" spans="1:9" s="1088" customFormat="1" ht="15" x14ac:dyDescent="0.25">
      <c r="A650" s="209"/>
      <c r="B650" s="214"/>
      <c r="C650" s="256"/>
      <c r="D650" s="214"/>
      <c r="E650" s="212"/>
      <c r="F650" s="257" t="s">
        <v>121</v>
      </c>
      <c r="G650" s="258">
        <f>+SUM(G645:G649)</f>
        <v>7555.423984</v>
      </c>
    </row>
    <row r="651" spans="1:9" s="1088" customFormat="1" ht="14.25" x14ac:dyDescent="0.2">
      <c r="A651" s="209"/>
      <c r="B651" s="212"/>
      <c r="C651" s="211"/>
      <c r="D651" s="212"/>
      <c r="E651" s="213"/>
      <c r="F651" s="212"/>
      <c r="G651" s="215"/>
    </row>
    <row r="652" spans="1:9" s="1088" customFormat="1" ht="15" x14ac:dyDescent="0.25">
      <c r="A652" s="216" t="s">
        <v>130</v>
      </c>
      <c r="B652" s="212"/>
      <c r="C652" s="211"/>
      <c r="D652" s="212"/>
      <c r="E652" s="213"/>
      <c r="F652" s="214"/>
      <c r="G652" s="215"/>
    </row>
    <row r="653" spans="1:9" s="1088" customFormat="1" ht="14.25" x14ac:dyDescent="0.2">
      <c r="A653" s="209"/>
      <c r="B653" s="212"/>
      <c r="C653" s="211"/>
      <c r="D653" s="212"/>
      <c r="E653" s="213"/>
      <c r="F653" s="214"/>
      <c r="G653" s="215"/>
    </row>
    <row r="654" spans="1:9" s="1088" customFormat="1" ht="15" x14ac:dyDescent="0.25">
      <c r="A654" s="1071" t="s">
        <v>116</v>
      </c>
      <c r="B654" s="1072"/>
      <c r="C654" s="236" t="s">
        <v>131</v>
      </c>
      <c r="D654" s="235" t="s">
        <v>132</v>
      </c>
      <c r="E654" s="236" t="s">
        <v>133</v>
      </c>
      <c r="F654" s="237" t="s">
        <v>126</v>
      </c>
      <c r="G654" s="238" t="s">
        <v>134</v>
      </c>
    </row>
    <row r="655" spans="1:9" s="1088" customFormat="1" ht="14.25" x14ac:dyDescent="0.2">
      <c r="A655" s="209" t="s">
        <v>10</v>
      </c>
      <c r="B655" s="259"/>
      <c r="C655" s="260">
        <f>M2</f>
        <v>22981.8</v>
      </c>
      <c r="D655" s="261">
        <f>N2</f>
        <v>1.76</v>
      </c>
      <c r="E655" s="262">
        <f>D655*C655</f>
        <v>40447.968000000001</v>
      </c>
      <c r="F655" s="263">
        <f>1/100</f>
        <v>0.01</v>
      </c>
      <c r="G655" s="264">
        <f>F655*E655</f>
        <v>404.47968000000003</v>
      </c>
    </row>
    <row r="656" spans="1:9" s="1088" customFormat="1" ht="14.25" x14ac:dyDescent="0.2">
      <c r="A656" s="209" t="s">
        <v>140</v>
      </c>
      <c r="B656" s="259"/>
      <c r="C656" s="260">
        <f>M3</f>
        <v>40000</v>
      </c>
      <c r="D656" s="261">
        <f>N3</f>
        <v>1.76</v>
      </c>
      <c r="E656" s="262">
        <f>D656*C656</f>
        <v>70400</v>
      </c>
      <c r="F656" s="263">
        <f>1/100</f>
        <v>0.01</v>
      </c>
      <c r="G656" s="264">
        <f>F656*E656</f>
        <v>704</v>
      </c>
      <c r="I656" s="1089"/>
    </row>
    <row r="657" spans="1:7" s="1088" customFormat="1" ht="14.25" x14ac:dyDescent="0.2">
      <c r="A657" s="209"/>
      <c r="B657" s="245"/>
      <c r="C657" s="265"/>
      <c r="D657" s="246"/>
      <c r="E657" s="265"/>
      <c r="F657" s="266"/>
      <c r="G657" s="267"/>
    </row>
    <row r="658" spans="1:7" s="1088" customFormat="1" ht="14.25" x14ac:dyDescent="0.2">
      <c r="A658" s="249"/>
      <c r="B658" s="250"/>
      <c r="C658" s="252"/>
      <c r="D658" s="251"/>
      <c r="E658" s="252"/>
      <c r="F658" s="254"/>
      <c r="G658" s="268"/>
    </row>
    <row r="659" spans="1:7" s="1088" customFormat="1" ht="15" x14ac:dyDescent="0.25">
      <c r="A659" s="209"/>
      <c r="B659" s="212"/>
      <c r="C659" s="211"/>
      <c r="D659" s="212"/>
      <c r="E659" s="269"/>
      <c r="F659" s="269" t="s">
        <v>121</v>
      </c>
      <c r="G659" s="270">
        <f>+SUM(G655:G658)</f>
        <v>1108.4796799999999</v>
      </c>
    </row>
    <row r="660" spans="1:7" s="1088" customFormat="1" ht="15" x14ac:dyDescent="0.25">
      <c r="A660" s="209"/>
      <c r="B660" s="212"/>
      <c r="C660" s="211"/>
      <c r="D660" s="212"/>
      <c r="E660" s="257"/>
      <c r="F660" s="257"/>
      <c r="G660" s="271"/>
    </row>
    <row r="661" spans="1:7" s="1088" customFormat="1" ht="15" x14ac:dyDescent="0.25">
      <c r="A661" s="216" t="s">
        <v>135</v>
      </c>
      <c r="B661" s="212"/>
      <c r="C661" s="211"/>
      <c r="D661" s="212"/>
      <c r="E661" s="213"/>
      <c r="F661" s="214"/>
      <c r="G661" s="215"/>
    </row>
    <row r="662" spans="1:7" s="1088" customFormat="1" ht="14.25" x14ac:dyDescent="0.2">
      <c r="A662" s="209"/>
      <c r="B662" s="212"/>
      <c r="C662" s="211"/>
      <c r="D662" s="212"/>
      <c r="E662" s="213"/>
      <c r="F662" s="214"/>
      <c r="G662" s="215"/>
    </row>
    <row r="663" spans="1:7" s="1088" customFormat="1" ht="15" x14ac:dyDescent="0.25">
      <c r="A663" s="1071" t="s">
        <v>116</v>
      </c>
      <c r="B663" s="1072"/>
      <c r="C663" s="236" t="s">
        <v>117</v>
      </c>
      <c r="D663" s="235" t="s">
        <v>136</v>
      </c>
      <c r="E663" s="236" t="s">
        <v>124</v>
      </c>
      <c r="F663" s="237" t="s">
        <v>126</v>
      </c>
      <c r="G663" s="238" t="s">
        <v>134</v>
      </c>
    </row>
    <row r="664" spans="1:7" s="1088" customFormat="1" ht="14.25" x14ac:dyDescent="0.2">
      <c r="A664" s="58" t="s">
        <v>175</v>
      </c>
      <c r="B664" s="272"/>
      <c r="C664" s="273" t="s">
        <v>7</v>
      </c>
      <c r="D664" s="261">
        <v>1</v>
      </c>
      <c r="E664" s="262">
        <v>1000</v>
      </c>
      <c r="F664" s="274">
        <v>0.5</v>
      </c>
      <c r="G664" s="264">
        <f>F664*E664</f>
        <v>500</v>
      </c>
    </row>
    <row r="665" spans="1:7" s="1088" customFormat="1" ht="14.25" x14ac:dyDescent="0.2">
      <c r="A665" s="209"/>
      <c r="B665" s="275"/>
      <c r="C665" s="260"/>
      <c r="D665" s="261"/>
      <c r="E665" s="276"/>
      <c r="F665" s="222"/>
      <c r="G665" s="224"/>
    </row>
    <row r="666" spans="1:7" s="1088" customFormat="1" ht="14.25" x14ac:dyDescent="0.2">
      <c r="A666" s="209"/>
      <c r="B666" s="259"/>
      <c r="C666" s="260"/>
      <c r="D666" s="261"/>
      <c r="E666" s="276"/>
      <c r="F666" s="222"/>
      <c r="G666" s="224"/>
    </row>
    <row r="667" spans="1:7" s="1088" customFormat="1" ht="14.25" x14ac:dyDescent="0.2">
      <c r="A667" s="209"/>
      <c r="B667" s="259"/>
      <c r="C667" s="260"/>
      <c r="D667" s="261"/>
      <c r="E667" s="276"/>
      <c r="F667" s="222"/>
      <c r="G667" s="224"/>
    </row>
    <row r="668" spans="1:7" s="1088" customFormat="1" ht="14.25" x14ac:dyDescent="0.2">
      <c r="A668" s="209"/>
      <c r="B668" s="245"/>
      <c r="C668" s="265"/>
      <c r="D668" s="246"/>
      <c r="E668" s="265"/>
      <c r="F668" s="266"/>
      <c r="G668" s="267"/>
    </row>
    <row r="669" spans="1:7" s="1088" customFormat="1" ht="14.25" x14ac:dyDescent="0.2">
      <c r="A669" s="249"/>
      <c r="B669" s="250"/>
      <c r="C669" s="252"/>
      <c r="D669" s="251"/>
      <c r="E669" s="252"/>
      <c r="F669" s="254"/>
      <c r="G669" s="268"/>
    </row>
    <row r="670" spans="1:7" s="1088" customFormat="1" ht="15" x14ac:dyDescent="0.25">
      <c r="A670" s="209"/>
      <c r="B670" s="212"/>
      <c r="C670" s="211"/>
      <c r="D670" s="212"/>
      <c r="E670" s="269"/>
      <c r="F670" s="269" t="s">
        <v>121</v>
      </c>
      <c r="G670" s="270">
        <f>+SUM(G664:G669)</f>
        <v>500</v>
      </c>
    </row>
    <row r="671" spans="1:7" s="1088" customFormat="1" ht="14.25" x14ac:dyDescent="0.2">
      <c r="A671" s="209"/>
      <c r="B671" s="212"/>
      <c r="C671" s="211"/>
      <c r="D671" s="212"/>
      <c r="E671" s="213"/>
      <c r="F671" s="214"/>
      <c r="G671" s="614"/>
    </row>
    <row r="672" spans="1:7" s="1088" customFormat="1" ht="15" x14ac:dyDescent="0.25">
      <c r="A672" s="277"/>
      <c r="B672" s="278"/>
      <c r="C672" s="278"/>
      <c r="D672" s="278"/>
      <c r="E672" s="279"/>
      <c r="F672" s="280" t="s">
        <v>137</v>
      </c>
      <c r="G672" s="283">
        <f>+ROUND(G640+G650+G659+G670,0)</f>
        <v>9164</v>
      </c>
    </row>
    <row r="673" spans="1:7" s="1088" customFormat="1" ht="14.25" x14ac:dyDescent="0.2">
      <c r="A673" s="1341"/>
      <c r="B673" s="1342"/>
      <c r="C673" s="1342"/>
      <c r="D673" s="1342"/>
      <c r="E673" s="1342"/>
      <c r="F673" s="1342"/>
      <c r="G673" s="1342"/>
    </row>
    <row r="674" spans="1:7" s="1088" customFormat="1" ht="15" x14ac:dyDescent="0.25">
      <c r="A674" s="145" t="s">
        <v>160</v>
      </c>
      <c r="B674" s="1262" t="s">
        <v>161</v>
      </c>
      <c r="C674" s="1263"/>
      <c r="D674" s="1263"/>
      <c r="E674" s="1263"/>
      <c r="F674" s="1264"/>
      <c r="G674" s="146" t="s">
        <v>2</v>
      </c>
    </row>
    <row r="675" spans="1:7" s="1088" customFormat="1" ht="15" customHeight="1" x14ac:dyDescent="0.25">
      <c r="A675" s="208">
        <f>'FORMATO PROPUESTA ECONÓMICA'!A34</f>
        <v>6.2</v>
      </c>
      <c r="B675" s="1265" t="str">
        <f>'FORMATO PROPUESTA ECONÓMICA'!B34</f>
        <v xml:space="preserve">Tubería de polietileno para acueducto PE 100 PN 10, Øint. 79.2 mm, (90 mm). </v>
      </c>
      <c r="C675" s="1266"/>
      <c r="D675" s="1266"/>
      <c r="E675" s="1266"/>
      <c r="F675" s="1267"/>
      <c r="G675" s="187" t="str">
        <f>'FORMATO PROPUESTA ECONÓMICA'!C34</f>
        <v>m</v>
      </c>
    </row>
    <row r="676" spans="1:7" s="1088" customFormat="1" ht="14.25" x14ac:dyDescent="0.2">
      <c r="A676" s="209"/>
      <c r="B676" s="210"/>
      <c r="C676" s="211"/>
      <c r="D676" s="212"/>
      <c r="E676" s="213"/>
      <c r="F676" s="214"/>
      <c r="G676" s="215"/>
    </row>
    <row r="677" spans="1:7" s="1088" customFormat="1" ht="15" x14ac:dyDescent="0.25">
      <c r="A677" s="216" t="s">
        <v>115</v>
      </c>
      <c r="B677" s="212"/>
      <c r="C677" s="211"/>
      <c r="D677" s="212"/>
      <c r="E677" s="213"/>
      <c r="F677" s="214"/>
      <c r="G677" s="215"/>
    </row>
    <row r="678" spans="1:7" s="1088" customFormat="1" ht="14.25" x14ac:dyDescent="0.2">
      <c r="A678" s="209"/>
      <c r="B678" s="212"/>
      <c r="C678" s="211"/>
      <c r="D678" s="212"/>
      <c r="E678" s="213"/>
      <c r="F678" s="214"/>
      <c r="G678" s="215"/>
    </row>
    <row r="679" spans="1:7" s="1088" customFormat="1" ht="15" x14ac:dyDescent="0.25">
      <c r="A679" s="1262" t="s">
        <v>116</v>
      </c>
      <c r="B679" s="1264"/>
      <c r="C679" s="217" t="s">
        <v>117</v>
      </c>
      <c r="D679" s="1075" t="s">
        <v>118</v>
      </c>
      <c r="E679" s="218" t="s">
        <v>39</v>
      </c>
      <c r="F679" s="1075" t="s">
        <v>119</v>
      </c>
      <c r="G679" s="219" t="s">
        <v>120</v>
      </c>
    </row>
    <row r="680" spans="1:7" s="1088" customFormat="1" ht="14.25" x14ac:dyDescent="0.2">
      <c r="A680" s="1322"/>
      <c r="B680" s="1338"/>
      <c r="C680" s="220"/>
      <c r="D680" s="221"/>
      <c r="E680" s="222"/>
      <c r="F680" s="223"/>
      <c r="G680" s="224">
        <f>D680*(E680+F680)</f>
        <v>0</v>
      </c>
    </row>
    <row r="681" spans="1:7" s="1088" customFormat="1" ht="14.25" x14ac:dyDescent="0.2">
      <c r="A681" s="1280"/>
      <c r="B681" s="1281"/>
      <c r="C681" s="225"/>
      <c r="D681" s="221"/>
      <c r="E681" s="226"/>
      <c r="F681" s="227"/>
      <c r="G681" s="228">
        <f>D681*E681</f>
        <v>0</v>
      </c>
    </row>
    <row r="682" spans="1:7" s="1088" customFormat="1" ht="14.25" x14ac:dyDescent="0.2">
      <c r="A682" s="1280"/>
      <c r="B682" s="1281"/>
      <c r="C682" s="229"/>
      <c r="D682" s="221"/>
      <c r="E682" s="226"/>
      <c r="F682" s="227"/>
      <c r="G682" s="228">
        <f>D682*E682</f>
        <v>0</v>
      </c>
    </row>
    <row r="683" spans="1:7" s="1088" customFormat="1" ht="14.25" x14ac:dyDescent="0.2">
      <c r="A683" s="1280"/>
      <c r="B683" s="1281"/>
      <c r="C683" s="225"/>
      <c r="D683" s="221"/>
      <c r="E683" s="226"/>
      <c r="F683" s="227"/>
      <c r="G683" s="228">
        <f>D683*E683</f>
        <v>0</v>
      </c>
    </row>
    <row r="684" spans="1:7" s="1088" customFormat="1" ht="14.25" x14ac:dyDescent="0.2">
      <c r="A684" s="1069"/>
      <c r="B684" s="1070"/>
      <c r="C684" s="230"/>
      <c r="D684" s="231"/>
      <c r="E684" s="232"/>
      <c r="F684" s="233"/>
      <c r="G684" s="228">
        <f>D684*E684</f>
        <v>0</v>
      </c>
    </row>
    <row r="685" spans="1:7" s="1088" customFormat="1" ht="15" x14ac:dyDescent="0.25">
      <c r="A685" s="1073"/>
      <c r="B685" s="210"/>
      <c r="C685" s="211"/>
      <c r="D685" s="212"/>
      <c r="E685" s="212"/>
      <c r="F685" s="234" t="s">
        <v>121</v>
      </c>
      <c r="G685" s="231">
        <f>+SUM(G680:G684)</f>
        <v>0</v>
      </c>
    </row>
    <row r="686" spans="1:7" s="1088" customFormat="1" ht="14.25" x14ac:dyDescent="0.2">
      <c r="A686" s="209"/>
      <c r="B686" s="212"/>
      <c r="C686" s="211" t="s">
        <v>123</v>
      </c>
      <c r="D686" s="212"/>
      <c r="E686" s="213"/>
      <c r="F686" s="214"/>
      <c r="G686" s="215"/>
    </row>
    <row r="687" spans="1:7" s="1088" customFormat="1" ht="15" x14ac:dyDescent="0.25">
      <c r="A687" s="216" t="s">
        <v>122</v>
      </c>
      <c r="B687" s="212"/>
      <c r="C687" s="211" t="s">
        <v>123</v>
      </c>
      <c r="D687" s="212"/>
      <c r="E687" s="213"/>
      <c r="F687" s="214"/>
      <c r="G687" s="215"/>
    </row>
    <row r="688" spans="1:7" s="1088" customFormat="1" ht="14.25" x14ac:dyDescent="0.2">
      <c r="A688" s="209"/>
      <c r="B688" s="212"/>
      <c r="C688" s="211"/>
      <c r="D688" s="212"/>
      <c r="E688" s="213"/>
      <c r="F688" s="214"/>
      <c r="G688" s="215"/>
    </row>
    <row r="689" spans="1:7" s="1088" customFormat="1" ht="15" x14ac:dyDescent="0.25">
      <c r="A689" s="1071" t="s">
        <v>116</v>
      </c>
      <c r="B689" s="1072"/>
      <c r="C689" s="235" t="s">
        <v>117</v>
      </c>
      <c r="D689" s="236" t="s">
        <v>124</v>
      </c>
      <c r="E689" s="236" t="s">
        <v>125</v>
      </c>
      <c r="F689" s="237" t="s">
        <v>126</v>
      </c>
      <c r="G689" s="238" t="s">
        <v>120</v>
      </c>
    </row>
    <row r="690" spans="1:7" s="1088" customFormat="1" ht="28.5" x14ac:dyDescent="0.2">
      <c r="A690" s="1066" t="s">
        <v>127</v>
      </c>
      <c r="B690" s="1067"/>
      <c r="C690" s="239" t="s">
        <v>128</v>
      </c>
      <c r="D690" s="240"/>
      <c r="E690" s="241"/>
      <c r="F690" s="222"/>
      <c r="G690" s="242">
        <f>G704*0.05</f>
        <v>110.84796799999999</v>
      </c>
    </row>
    <row r="691" spans="1:7" s="1088" customFormat="1" ht="14.25" x14ac:dyDescent="0.2">
      <c r="A691" s="1073" t="s">
        <v>174</v>
      </c>
      <c r="B691" s="1074"/>
      <c r="C691" s="243">
        <v>1</v>
      </c>
      <c r="D691" s="221">
        <v>450000</v>
      </c>
      <c r="E691" s="244"/>
      <c r="F691" s="222">
        <v>50</v>
      </c>
      <c r="G691" s="224">
        <f>D691/F691</f>
        <v>9000</v>
      </c>
    </row>
    <row r="692" spans="1:7" s="1088" customFormat="1" ht="14.25" x14ac:dyDescent="0.2">
      <c r="A692" s="1073"/>
      <c r="B692" s="1074"/>
      <c r="C692" s="243"/>
      <c r="D692" s="221"/>
      <c r="E692" s="244"/>
      <c r="F692" s="222"/>
      <c r="G692" s="224"/>
    </row>
    <row r="693" spans="1:7" s="1088" customFormat="1" ht="14.25" x14ac:dyDescent="0.2">
      <c r="A693" s="209"/>
      <c r="B693" s="245"/>
      <c r="C693" s="246"/>
      <c r="D693" s="221"/>
      <c r="E693" s="247"/>
      <c r="F693" s="222"/>
      <c r="G693" s="248"/>
    </row>
    <row r="694" spans="1:7" s="1088" customFormat="1" ht="14.25" x14ac:dyDescent="0.2">
      <c r="A694" s="249"/>
      <c r="B694" s="250"/>
      <c r="C694" s="251"/>
      <c r="D694" s="252"/>
      <c r="E694" s="253"/>
      <c r="F694" s="254"/>
      <c r="G694" s="255"/>
    </row>
    <row r="695" spans="1:7" s="1088" customFormat="1" ht="15" x14ac:dyDescent="0.25">
      <c r="A695" s="209"/>
      <c r="B695" s="214"/>
      <c r="C695" s="256"/>
      <c r="D695" s="214"/>
      <c r="E695" s="212"/>
      <c r="F695" s="257" t="s">
        <v>121</v>
      </c>
      <c r="G695" s="258">
        <f>+SUM(G690:G694)</f>
        <v>9110.847968</v>
      </c>
    </row>
    <row r="696" spans="1:7" s="1088" customFormat="1" ht="14.25" x14ac:dyDescent="0.2">
      <c r="A696" s="209"/>
      <c r="B696" s="212"/>
      <c r="C696" s="211"/>
      <c r="D696" s="212"/>
      <c r="E696" s="213"/>
      <c r="F696" s="212"/>
      <c r="G696" s="215"/>
    </row>
    <row r="697" spans="1:7" s="1088" customFormat="1" ht="15" x14ac:dyDescent="0.25">
      <c r="A697" s="216" t="s">
        <v>130</v>
      </c>
      <c r="B697" s="212"/>
      <c r="C697" s="211"/>
      <c r="D697" s="212"/>
      <c r="E697" s="213"/>
      <c r="F697" s="214"/>
      <c r="G697" s="215"/>
    </row>
    <row r="698" spans="1:7" s="1088" customFormat="1" ht="14.25" x14ac:dyDescent="0.2">
      <c r="A698" s="209"/>
      <c r="B698" s="212"/>
      <c r="C698" s="211"/>
      <c r="D698" s="212"/>
      <c r="E698" s="213"/>
      <c r="F698" s="214"/>
      <c r="G698" s="215"/>
    </row>
    <row r="699" spans="1:7" s="1088" customFormat="1" ht="15" x14ac:dyDescent="0.25">
      <c r="A699" s="1071" t="s">
        <v>116</v>
      </c>
      <c r="B699" s="1072"/>
      <c r="C699" s="236" t="s">
        <v>131</v>
      </c>
      <c r="D699" s="235" t="s">
        <v>132</v>
      </c>
      <c r="E699" s="236" t="s">
        <v>133</v>
      </c>
      <c r="F699" s="237" t="s">
        <v>126</v>
      </c>
      <c r="G699" s="238" t="s">
        <v>134</v>
      </c>
    </row>
    <row r="700" spans="1:7" s="1088" customFormat="1" ht="14.25" x14ac:dyDescent="0.2">
      <c r="A700" s="209" t="s">
        <v>10</v>
      </c>
      <c r="B700" s="259"/>
      <c r="C700" s="260">
        <f>M2</f>
        <v>22981.8</v>
      </c>
      <c r="D700" s="261">
        <f>N2</f>
        <v>1.76</v>
      </c>
      <c r="E700" s="262">
        <f>D700*C700</f>
        <v>40447.968000000001</v>
      </c>
      <c r="F700" s="274">
        <f>1/50</f>
        <v>0.02</v>
      </c>
      <c r="G700" s="264">
        <f>F700*E700</f>
        <v>808.95936000000006</v>
      </c>
    </row>
    <row r="701" spans="1:7" s="1088" customFormat="1" ht="14.25" x14ac:dyDescent="0.2">
      <c r="A701" s="209" t="s">
        <v>140</v>
      </c>
      <c r="B701" s="259"/>
      <c r="C701" s="260">
        <f>M3</f>
        <v>40000</v>
      </c>
      <c r="D701" s="261">
        <f>N3</f>
        <v>1.76</v>
      </c>
      <c r="E701" s="262">
        <f>D701*C701</f>
        <v>70400</v>
      </c>
      <c r="F701" s="274">
        <f>1/50</f>
        <v>0.02</v>
      </c>
      <c r="G701" s="264">
        <f>F701*E701</f>
        <v>1408</v>
      </c>
    </row>
    <row r="702" spans="1:7" s="1088" customFormat="1" ht="14.25" x14ac:dyDescent="0.2">
      <c r="A702" s="209"/>
      <c r="B702" s="245"/>
      <c r="C702" s="265"/>
      <c r="D702" s="246"/>
      <c r="E702" s="265"/>
      <c r="F702" s="266"/>
      <c r="G702" s="267"/>
    </row>
    <row r="703" spans="1:7" s="1088" customFormat="1" ht="14.25" x14ac:dyDescent="0.2">
      <c r="A703" s="249"/>
      <c r="B703" s="250"/>
      <c r="C703" s="252"/>
      <c r="D703" s="251"/>
      <c r="E703" s="252"/>
      <c r="F703" s="254"/>
      <c r="G703" s="268"/>
    </row>
    <row r="704" spans="1:7" s="1088" customFormat="1" ht="15" x14ac:dyDescent="0.25">
      <c r="A704" s="209"/>
      <c r="B704" s="212"/>
      <c r="C704" s="211"/>
      <c r="D704" s="212"/>
      <c r="E704" s="269"/>
      <c r="F704" s="269" t="s">
        <v>121</v>
      </c>
      <c r="G704" s="270">
        <f>+SUM(G700:G703)</f>
        <v>2216.9593599999998</v>
      </c>
    </row>
    <row r="705" spans="1:8" s="1088" customFormat="1" ht="15" x14ac:dyDescent="0.25">
      <c r="A705" s="209"/>
      <c r="B705" s="212"/>
      <c r="C705" s="211"/>
      <c r="D705" s="212"/>
      <c r="E705" s="257"/>
      <c r="F705" s="257"/>
      <c r="G705" s="271"/>
    </row>
    <row r="706" spans="1:8" s="1088" customFormat="1" ht="15" x14ac:dyDescent="0.25">
      <c r="A706" s="216" t="s">
        <v>135</v>
      </c>
      <c r="B706" s="212"/>
      <c r="C706" s="211"/>
      <c r="D706" s="212"/>
      <c r="E706" s="213"/>
      <c r="F706" s="214"/>
      <c r="G706" s="215"/>
    </row>
    <row r="707" spans="1:8" s="1088" customFormat="1" ht="14.25" x14ac:dyDescent="0.2">
      <c r="A707" s="209"/>
      <c r="B707" s="212"/>
      <c r="C707" s="211"/>
      <c r="D707" s="212"/>
      <c r="E707" s="213"/>
      <c r="F707" s="214"/>
      <c r="G707" s="215"/>
    </row>
    <row r="708" spans="1:8" s="1088" customFormat="1" ht="15" x14ac:dyDescent="0.25">
      <c r="A708" s="1071" t="s">
        <v>116</v>
      </c>
      <c r="B708" s="1072"/>
      <c r="C708" s="236" t="s">
        <v>117</v>
      </c>
      <c r="D708" s="235" t="s">
        <v>136</v>
      </c>
      <c r="E708" s="236" t="s">
        <v>124</v>
      </c>
      <c r="F708" s="237" t="s">
        <v>126</v>
      </c>
      <c r="G708" s="238" t="s">
        <v>134</v>
      </c>
    </row>
    <row r="709" spans="1:8" s="1088" customFormat="1" ht="14.25" x14ac:dyDescent="0.2">
      <c r="A709" s="58" t="s">
        <v>175</v>
      </c>
      <c r="B709" s="272"/>
      <c r="C709" s="273" t="s">
        <v>7</v>
      </c>
      <c r="D709" s="261">
        <v>1</v>
      </c>
      <c r="E709" s="262">
        <v>2000</v>
      </c>
      <c r="F709" s="274">
        <v>0.5</v>
      </c>
      <c r="G709" s="264">
        <f>F709*E709</f>
        <v>1000</v>
      </c>
    </row>
    <row r="710" spans="1:8" s="1088" customFormat="1" ht="14.25" x14ac:dyDescent="0.2">
      <c r="A710" s="209"/>
      <c r="B710" s="275"/>
      <c r="C710" s="260"/>
      <c r="D710" s="261"/>
      <c r="E710" s="276"/>
      <c r="F710" s="222"/>
      <c r="G710" s="224"/>
    </row>
    <row r="711" spans="1:8" s="1088" customFormat="1" ht="14.25" x14ac:dyDescent="0.2">
      <c r="A711" s="209"/>
      <c r="B711" s="259"/>
      <c r="C711" s="260"/>
      <c r="D711" s="261"/>
      <c r="E711" s="276"/>
      <c r="F711" s="222"/>
      <c r="G711" s="224"/>
    </row>
    <row r="712" spans="1:8" s="1088" customFormat="1" ht="14.25" x14ac:dyDescent="0.2">
      <c r="A712" s="209"/>
      <c r="B712" s="259"/>
      <c r="C712" s="260"/>
      <c r="D712" s="261"/>
      <c r="E712" s="276"/>
      <c r="F712" s="222"/>
      <c r="G712" s="224"/>
    </row>
    <row r="713" spans="1:8" s="1088" customFormat="1" ht="14.25" x14ac:dyDescent="0.2">
      <c r="A713" s="209"/>
      <c r="B713" s="245"/>
      <c r="C713" s="265"/>
      <c r="D713" s="246"/>
      <c r="E713" s="265"/>
      <c r="F713" s="266"/>
      <c r="G713" s="267"/>
    </row>
    <row r="714" spans="1:8" s="1088" customFormat="1" ht="14.25" x14ac:dyDescent="0.2">
      <c r="A714" s="249"/>
      <c r="B714" s="250"/>
      <c r="C714" s="252"/>
      <c r="D714" s="251"/>
      <c r="E714" s="252"/>
      <c r="F714" s="254"/>
      <c r="G714" s="268"/>
    </row>
    <row r="715" spans="1:8" s="1088" customFormat="1" ht="15" x14ac:dyDescent="0.25">
      <c r="A715" s="209"/>
      <c r="B715" s="212"/>
      <c r="C715" s="211"/>
      <c r="D715" s="212"/>
      <c r="E715" s="269"/>
      <c r="F715" s="269" t="s">
        <v>121</v>
      </c>
      <c r="G715" s="270">
        <f>+SUM(G709:G714)</f>
        <v>1000</v>
      </c>
    </row>
    <row r="716" spans="1:8" s="1088" customFormat="1" ht="14.25" x14ac:dyDescent="0.2">
      <c r="A716" s="209"/>
      <c r="B716" s="212"/>
      <c r="C716" s="211"/>
      <c r="D716" s="212"/>
      <c r="E716" s="213"/>
      <c r="F716" s="214"/>
      <c r="G716" s="271"/>
    </row>
    <row r="717" spans="1:8" s="1088" customFormat="1" ht="15" x14ac:dyDescent="0.25">
      <c r="A717" s="277"/>
      <c r="B717" s="278"/>
      <c r="C717" s="278"/>
      <c r="D717" s="278"/>
      <c r="E717" s="279"/>
      <c r="F717" s="280" t="s">
        <v>137</v>
      </c>
      <c r="G717" s="283">
        <f>+ROUND(G685+G695+G704+G715,0)</f>
        <v>12328</v>
      </c>
    </row>
    <row r="718" spans="1:8" s="1088" customFormat="1" ht="14.25" x14ac:dyDescent="0.2">
      <c r="A718" s="209"/>
      <c r="B718" s="212"/>
      <c r="C718" s="212"/>
      <c r="D718" s="212"/>
      <c r="E718" s="211"/>
      <c r="F718" s="211"/>
      <c r="G718" s="211"/>
      <c r="H718" s="211"/>
    </row>
    <row r="719" spans="1:8" ht="15" x14ac:dyDescent="0.25">
      <c r="A719" s="145" t="s">
        <v>160</v>
      </c>
      <c r="B719" s="1262" t="s">
        <v>161</v>
      </c>
      <c r="C719" s="1263"/>
      <c r="D719" s="1263"/>
      <c r="E719" s="1263"/>
      <c r="F719" s="1264"/>
      <c r="G719" s="146" t="s">
        <v>2</v>
      </c>
    </row>
    <row r="720" spans="1:8" ht="15" customHeight="1" x14ac:dyDescent="0.25">
      <c r="A720" s="208">
        <f>'FORMATO PROPUESTA ECONÓMICA'!A35</f>
        <v>6.3</v>
      </c>
      <c r="B720" s="1265" t="str">
        <f>'FORMATO PROPUESTA ECONÓMICA'!B35</f>
        <v xml:space="preserve">Tubería de polietileno para acueducto PE 100 PN 10, Øint. 96.8 mm, (110 mm). </v>
      </c>
      <c r="C720" s="1266"/>
      <c r="D720" s="1266"/>
      <c r="E720" s="1266"/>
      <c r="F720" s="1267"/>
      <c r="G720" s="187" t="str">
        <f>'FORMATO PROPUESTA ECONÓMICA'!C35</f>
        <v>m</v>
      </c>
    </row>
    <row r="721" spans="1:7" ht="15" x14ac:dyDescent="0.25">
      <c r="A721" s="209"/>
      <c r="B721" s="210"/>
      <c r="C721" s="211"/>
      <c r="D721" s="212"/>
      <c r="E721" s="213"/>
      <c r="F721" s="214"/>
      <c r="G721" s="215"/>
    </row>
    <row r="722" spans="1:7" ht="15" x14ac:dyDescent="0.25">
      <c r="A722" s="216" t="s">
        <v>115</v>
      </c>
      <c r="B722" s="212"/>
      <c r="C722" s="211"/>
      <c r="D722" s="212"/>
      <c r="E722" s="213"/>
      <c r="F722" s="214"/>
      <c r="G722" s="215"/>
    </row>
    <row r="723" spans="1:7" ht="15" x14ac:dyDescent="0.25">
      <c r="A723" s="209"/>
      <c r="B723" s="212"/>
      <c r="C723" s="211"/>
      <c r="D723" s="212"/>
      <c r="E723" s="213"/>
      <c r="F723" s="214"/>
      <c r="G723" s="215"/>
    </row>
    <row r="724" spans="1:7" ht="15" x14ac:dyDescent="0.25">
      <c r="A724" s="1262" t="s">
        <v>116</v>
      </c>
      <c r="B724" s="1264"/>
      <c r="C724" s="217" t="s">
        <v>117</v>
      </c>
      <c r="D724" s="1075" t="s">
        <v>118</v>
      </c>
      <c r="E724" s="218" t="s">
        <v>39</v>
      </c>
      <c r="F724" s="1075" t="s">
        <v>119</v>
      </c>
      <c r="G724" s="219" t="s">
        <v>120</v>
      </c>
    </row>
    <row r="725" spans="1:7" ht="15" x14ac:dyDescent="0.25">
      <c r="A725" s="1322"/>
      <c r="B725" s="1338"/>
      <c r="C725" s="220"/>
      <c r="D725" s="221"/>
      <c r="E725" s="222"/>
      <c r="F725" s="223"/>
      <c r="G725" s="224">
        <f>D725*(E725+F725)</f>
        <v>0</v>
      </c>
    </row>
    <row r="726" spans="1:7" ht="15" x14ac:dyDescent="0.25">
      <c r="A726" s="1280"/>
      <c r="B726" s="1281"/>
      <c r="C726" s="225"/>
      <c r="D726" s="221"/>
      <c r="E726" s="226"/>
      <c r="F726" s="227"/>
      <c r="G726" s="228">
        <f>D726*E726</f>
        <v>0</v>
      </c>
    </row>
    <row r="727" spans="1:7" ht="15" x14ac:dyDescent="0.25">
      <c r="A727" s="1280"/>
      <c r="B727" s="1281"/>
      <c r="C727" s="225"/>
      <c r="D727" s="221"/>
      <c r="E727" s="226"/>
      <c r="F727" s="227"/>
      <c r="G727" s="228">
        <f>D727*E727</f>
        <v>0</v>
      </c>
    </row>
    <row r="728" spans="1:7" ht="15" x14ac:dyDescent="0.25">
      <c r="A728" s="1069"/>
      <c r="B728" s="1070"/>
      <c r="C728" s="230"/>
      <c r="D728" s="231"/>
      <c r="E728" s="232"/>
      <c r="F728" s="233"/>
      <c r="G728" s="228">
        <f>D728*E728</f>
        <v>0</v>
      </c>
    </row>
    <row r="729" spans="1:7" ht="15" x14ac:dyDescent="0.25">
      <c r="A729" s="1073"/>
      <c r="B729" s="210"/>
      <c r="C729" s="211"/>
      <c r="D729" s="212"/>
      <c r="E729" s="212"/>
      <c r="F729" s="234" t="s">
        <v>121</v>
      </c>
      <c r="G729" s="231">
        <f>+SUM(G725:G728)</f>
        <v>0</v>
      </c>
    </row>
    <row r="730" spans="1:7" ht="15" x14ac:dyDescent="0.25">
      <c r="A730" s="209"/>
      <c r="B730" s="212"/>
      <c r="C730" s="211" t="s">
        <v>123</v>
      </c>
      <c r="D730" s="212"/>
      <c r="E730" s="213"/>
      <c r="F730" s="214"/>
      <c r="G730" s="215"/>
    </row>
    <row r="731" spans="1:7" ht="15" x14ac:dyDescent="0.25">
      <c r="A731" s="216" t="s">
        <v>122</v>
      </c>
      <c r="B731" s="212"/>
      <c r="C731" s="211" t="s">
        <v>123</v>
      </c>
      <c r="D731" s="212"/>
      <c r="E731" s="213"/>
      <c r="F731" s="214"/>
      <c r="G731" s="215"/>
    </row>
    <row r="732" spans="1:7" ht="15" x14ac:dyDescent="0.25">
      <c r="A732" s="209"/>
      <c r="B732" s="212"/>
      <c r="C732" s="211"/>
      <c r="D732" s="212"/>
      <c r="E732" s="213"/>
      <c r="F732" s="214"/>
      <c r="G732" s="215"/>
    </row>
    <row r="733" spans="1:7" ht="15" x14ac:dyDescent="0.25">
      <c r="A733" s="1071" t="s">
        <v>116</v>
      </c>
      <c r="B733" s="1072"/>
      <c r="C733" s="235" t="s">
        <v>117</v>
      </c>
      <c r="D733" s="236" t="s">
        <v>124</v>
      </c>
      <c r="E733" s="236" t="s">
        <v>125</v>
      </c>
      <c r="F733" s="237" t="s">
        <v>126</v>
      </c>
      <c r="G733" s="238" t="s">
        <v>120</v>
      </c>
    </row>
    <row r="734" spans="1:7" ht="29.25" x14ac:dyDescent="0.25">
      <c r="A734" s="1066" t="s">
        <v>127</v>
      </c>
      <c r="B734" s="1067"/>
      <c r="C734" s="239" t="s">
        <v>128</v>
      </c>
      <c r="D734" s="240"/>
      <c r="E734" s="241"/>
      <c r="F734" s="222"/>
      <c r="G734" s="242">
        <f>G748*0.05</f>
        <v>138.55996000000002</v>
      </c>
    </row>
    <row r="735" spans="1:7" ht="15" x14ac:dyDescent="0.25">
      <c r="A735" s="1073" t="s">
        <v>174</v>
      </c>
      <c r="B735" s="1074"/>
      <c r="C735" s="243">
        <v>1</v>
      </c>
      <c r="D735" s="221">
        <v>450000</v>
      </c>
      <c r="E735" s="244"/>
      <c r="F735" s="222">
        <v>40</v>
      </c>
      <c r="G735" s="224">
        <f>D735/F735</f>
        <v>11250</v>
      </c>
    </row>
    <row r="736" spans="1:7" ht="15" x14ac:dyDescent="0.25">
      <c r="A736" s="1073"/>
      <c r="B736" s="1074"/>
      <c r="C736" s="243"/>
      <c r="D736" s="221"/>
      <c r="E736" s="244"/>
      <c r="F736" s="222"/>
      <c r="G736" s="224"/>
    </row>
    <row r="737" spans="1:9" ht="15" x14ac:dyDescent="0.25">
      <c r="A737" s="209"/>
      <c r="B737" s="245"/>
      <c r="C737" s="246"/>
      <c r="D737" s="221"/>
      <c r="E737" s="247"/>
      <c r="F737" s="222"/>
      <c r="G737" s="248"/>
    </row>
    <row r="738" spans="1:9" ht="15" x14ac:dyDescent="0.25">
      <c r="A738" s="249"/>
      <c r="B738" s="250"/>
      <c r="C738" s="251"/>
      <c r="D738" s="252"/>
      <c r="E738" s="253"/>
      <c r="F738" s="254"/>
      <c r="G738" s="255"/>
    </row>
    <row r="739" spans="1:9" ht="15" x14ac:dyDescent="0.25">
      <c r="A739" s="209"/>
      <c r="B739" s="214"/>
      <c r="C739" s="256"/>
      <c r="D739" s="214"/>
      <c r="E739" s="212"/>
      <c r="F739" s="257" t="s">
        <v>121</v>
      </c>
      <c r="G739" s="258">
        <f>+SUM(G734:G738)</f>
        <v>11388.559960000001</v>
      </c>
    </row>
    <row r="740" spans="1:9" ht="15" x14ac:dyDescent="0.25">
      <c r="A740" s="209"/>
      <c r="B740" s="212"/>
      <c r="C740" s="211"/>
      <c r="D740" s="212"/>
      <c r="E740" s="213"/>
      <c r="F740" s="212"/>
      <c r="G740" s="215"/>
    </row>
    <row r="741" spans="1:9" ht="15" x14ac:dyDescent="0.25">
      <c r="A741" s="216" t="s">
        <v>130</v>
      </c>
      <c r="B741" s="212"/>
      <c r="C741" s="211"/>
      <c r="D741" s="212"/>
      <c r="E741" s="213"/>
      <c r="F741" s="214"/>
      <c r="G741" s="215"/>
    </row>
    <row r="742" spans="1:9" ht="15" x14ac:dyDescent="0.25">
      <c r="A742" s="209"/>
      <c r="B742" s="212"/>
      <c r="C742" s="211"/>
      <c r="D742" s="212"/>
      <c r="E742" s="213"/>
      <c r="F742" s="214"/>
      <c r="G742" s="215"/>
    </row>
    <row r="743" spans="1:9" ht="15" x14ac:dyDescent="0.25">
      <c r="A743" s="1071" t="s">
        <v>116</v>
      </c>
      <c r="B743" s="1072"/>
      <c r="C743" s="236" t="s">
        <v>131</v>
      </c>
      <c r="D743" s="235" t="s">
        <v>132</v>
      </c>
      <c r="E743" s="236" t="s">
        <v>133</v>
      </c>
      <c r="F743" s="237" t="s">
        <v>126</v>
      </c>
      <c r="G743" s="238" t="s">
        <v>134</v>
      </c>
    </row>
    <row r="744" spans="1:9" ht="15" x14ac:dyDescent="0.25">
      <c r="A744" s="209" t="s">
        <v>10</v>
      </c>
      <c r="B744" s="259"/>
      <c r="C744" s="260">
        <f>M2</f>
        <v>22981.8</v>
      </c>
      <c r="D744" s="261">
        <f>N2</f>
        <v>1.76</v>
      </c>
      <c r="E744" s="262">
        <f>D744*C744</f>
        <v>40447.968000000001</v>
      </c>
      <c r="F744" s="274">
        <f>1/40</f>
        <v>2.5000000000000001E-2</v>
      </c>
      <c r="G744" s="264">
        <f>F744*E744</f>
        <v>1011.1992</v>
      </c>
    </row>
    <row r="745" spans="1:9" ht="15" x14ac:dyDescent="0.25">
      <c r="A745" s="209" t="s">
        <v>140</v>
      </c>
      <c r="B745" s="259"/>
      <c r="C745" s="260">
        <f>M3</f>
        <v>40000</v>
      </c>
      <c r="D745" s="261">
        <f>N2</f>
        <v>1.76</v>
      </c>
      <c r="E745" s="262">
        <f>D745*C745</f>
        <v>70400</v>
      </c>
      <c r="F745" s="274">
        <f>1/40</f>
        <v>2.5000000000000001E-2</v>
      </c>
      <c r="G745" s="264">
        <f>F745*E745</f>
        <v>1760</v>
      </c>
      <c r="I745" s="281"/>
    </row>
    <row r="746" spans="1:9" ht="15" x14ac:dyDescent="0.25">
      <c r="A746" s="209"/>
      <c r="B746" s="245"/>
      <c r="C746" s="265"/>
      <c r="D746" s="246"/>
      <c r="E746" s="265"/>
      <c r="F746" s="266"/>
      <c r="G746" s="267"/>
    </row>
    <row r="747" spans="1:9" ht="15" x14ac:dyDescent="0.25">
      <c r="A747" s="249"/>
      <c r="B747" s="250"/>
      <c r="C747" s="252"/>
      <c r="D747" s="251"/>
      <c r="E747" s="252"/>
      <c r="F747" s="254"/>
      <c r="G747" s="268"/>
    </row>
    <row r="748" spans="1:9" ht="15" x14ac:dyDescent="0.25">
      <c r="A748" s="209"/>
      <c r="B748" s="212"/>
      <c r="C748" s="211"/>
      <c r="D748" s="212"/>
      <c r="E748" s="269"/>
      <c r="F748" s="269" t="s">
        <v>121</v>
      </c>
      <c r="G748" s="270">
        <f>+SUM(G744:G747)</f>
        <v>2771.1992</v>
      </c>
    </row>
    <row r="749" spans="1:9" ht="15" x14ac:dyDescent="0.25">
      <c r="A749" s="209"/>
      <c r="B749" s="212"/>
      <c r="C749" s="211"/>
      <c r="D749" s="212"/>
      <c r="E749" s="257"/>
      <c r="F749" s="257"/>
      <c r="G749" s="271"/>
    </row>
    <row r="750" spans="1:9" ht="15" x14ac:dyDescent="0.25">
      <c r="A750" s="216" t="s">
        <v>135</v>
      </c>
      <c r="B750" s="212"/>
      <c r="C750" s="211"/>
      <c r="D750" s="212"/>
      <c r="E750" s="213"/>
      <c r="F750" s="214"/>
      <c r="G750" s="215"/>
    </row>
    <row r="751" spans="1:9" ht="15" x14ac:dyDescent="0.25">
      <c r="A751" s="209"/>
      <c r="B751" s="212"/>
      <c r="C751" s="211"/>
      <c r="D751" s="212"/>
      <c r="E751" s="213"/>
      <c r="F751" s="214"/>
      <c r="G751" s="215"/>
    </row>
    <row r="752" spans="1:9" ht="15" x14ac:dyDescent="0.25">
      <c r="A752" s="1071" t="s">
        <v>116</v>
      </c>
      <c r="B752" s="1072"/>
      <c r="C752" s="236" t="s">
        <v>117</v>
      </c>
      <c r="D752" s="235" t="s">
        <v>136</v>
      </c>
      <c r="E752" s="236" t="s">
        <v>124</v>
      </c>
      <c r="F752" s="237" t="s">
        <v>126</v>
      </c>
      <c r="G752" s="238" t="s">
        <v>134</v>
      </c>
    </row>
    <row r="753" spans="1:8" ht="15" x14ac:dyDescent="0.25">
      <c r="A753" s="58" t="s">
        <v>175</v>
      </c>
      <c r="B753" s="272"/>
      <c r="C753" s="273" t="s">
        <v>7</v>
      </c>
      <c r="D753" s="282">
        <v>1</v>
      </c>
      <c r="E753" s="262">
        <v>3000</v>
      </c>
      <c r="F753" s="274">
        <v>1</v>
      </c>
      <c r="G753" s="264">
        <f>F753*E753</f>
        <v>3000</v>
      </c>
    </row>
    <row r="754" spans="1:8" ht="15" x14ac:dyDescent="0.25">
      <c r="A754" s="209"/>
      <c r="B754" s="275"/>
      <c r="C754" s="260"/>
      <c r="D754" s="261"/>
      <c r="E754" s="276"/>
      <c r="F754" s="222"/>
      <c r="G754" s="224"/>
    </row>
    <row r="755" spans="1:8" ht="15" x14ac:dyDescent="0.25">
      <c r="A755" s="209"/>
      <c r="B755" s="259"/>
      <c r="C755" s="260"/>
      <c r="D755" s="261"/>
      <c r="E755" s="276"/>
      <c r="F755" s="222"/>
      <c r="G755" s="224"/>
    </row>
    <row r="756" spans="1:8" ht="15" x14ac:dyDescent="0.25">
      <c r="A756" s="249"/>
      <c r="B756" s="250"/>
      <c r="C756" s="252"/>
      <c r="D756" s="251"/>
      <c r="E756" s="252"/>
      <c r="F756" s="254"/>
      <c r="G756" s="268"/>
    </row>
    <row r="757" spans="1:8" ht="15" x14ac:dyDescent="0.25">
      <c r="A757" s="209"/>
      <c r="B757" s="212"/>
      <c r="C757" s="211"/>
      <c r="D757" s="212"/>
      <c r="E757" s="269"/>
      <c r="F757" s="269" t="s">
        <v>121</v>
      </c>
      <c r="G757" s="270">
        <f>+SUM(G753:G756)</f>
        <v>3000</v>
      </c>
    </row>
    <row r="758" spans="1:8" ht="15" x14ac:dyDescent="0.25">
      <c r="A758" s="209"/>
      <c r="B758" s="212"/>
      <c r="C758" s="211"/>
      <c r="D758" s="212"/>
      <c r="E758" s="213"/>
      <c r="F758" s="214"/>
      <c r="G758" s="271"/>
    </row>
    <row r="759" spans="1:8" ht="15" x14ac:dyDescent="0.25">
      <c r="A759" s="277"/>
      <c r="B759" s="278"/>
      <c r="C759" s="278"/>
      <c r="D759" s="278"/>
      <c r="E759" s="279"/>
      <c r="F759" s="280" t="s">
        <v>137</v>
      </c>
      <c r="G759" s="283">
        <f>+ROUND(G729+G739+G748+G757,0)</f>
        <v>17160</v>
      </c>
    </row>
    <row r="760" spans="1:8" s="1088" customFormat="1" ht="14.25" x14ac:dyDescent="0.2">
      <c r="A760" s="209"/>
      <c r="B760" s="212"/>
      <c r="C760" s="212"/>
      <c r="D760" s="212"/>
      <c r="E760" s="211"/>
      <c r="F760" s="211"/>
      <c r="G760" s="211"/>
      <c r="H760" s="211"/>
    </row>
    <row r="761" spans="1:8" s="1088" customFormat="1" ht="15" x14ac:dyDescent="0.25">
      <c r="A761" s="209"/>
      <c r="B761" s="212"/>
      <c r="C761" s="212"/>
      <c r="D761" s="212"/>
      <c r="E761" s="211"/>
      <c r="F761" s="257"/>
      <c r="G761" s="257"/>
    </row>
    <row r="762" spans="1:8" ht="15" x14ac:dyDescent="0.25">
      <c r="A762" s="145" t="s">
        <v>160</v>
      </c>
      <c r="B762" s="1262" t="s">
        <v>161</v>
      </c>
      <c r="C762" s="1263"/>
      <c r="D762" s="1263"/>
      <c r="E762" s="1263"/>
      <c r="F762" s="1264"/>
      <c r="G762" s="146" t="s">
        <v>2</v>
      </c>
    </row>
    <row r="763" spans="1:8" ht="15" x14ac:dyDescent="0.25">
      <c r="A763" s="284">
        <f>'FORMATO PROPUESTA ECONÓMICA'!A36</f>
        <v>6.4</v>
      </c>
      <c r="B763" s="1265" t="str">
        <f>'FORMATO PROPUESTA ECONÓMICA'!B36</f>
        <v xml:space="preserve">Tubería de polietileno para acueducto PE 100 PN 10, Øint. 141.2 mm, (160 mm). </v>
      </c>
      <c r="C763" s="1266"/>
      <c r="D763" s="1266"/>
      <c r="E763" s="1266"/>
      <c r="F763" s="1267"/>
      <c r="G763" s="187" t="str">
        <f>'FORMATO PROPUESTA ECONÓMICA'!C36</f>
        <v>m</v>
      </c>
    </row>
    <row r="764" spans="1:8" ht="15" x14ac:dyDescent="0.25">
      <c r="A764" s="209"/>
      <c r="B764" s="210"/>
      <c r="C764" s="211"/>
      <c r="D764" s="212"/>
      <c r="E764" s="213"/>
      <c r="F764" s="214"/>
      <c r="G764" s="215"/>
    </row>
    <row r="765" spans="1:8" ht="15" x14ac:dyDescent="0.25">
      <c r="A765" s="216" t="s">
        <v>115</v>
      </c>
      <c r="B765" s="212"/>
      <c r="C765" s="211"/>
      <c r="D765" s="212"/>
      <c r="E765" s="213"/>
      <c r="F765" s="214"/>
      <c r="G765" s="215"/>
    </row>
    <row r="766" spans="1:8" ht="15" customHeight="1" x14ac:dyDescent="0.25">
      <c r="A766" s="209"/>
      <c r="B766" s="212"/>
      <c r="C766" s="211"/>
      <c r="D766" s="212"/>
      <c r="E766" s="213"/>
      <c r="F766" s="214"/>
      <c r="G766" s="215"/>
    </row>
    <row r="767" spans="1:8" ht="15" x14ac:dyDescent="0.25">
      <c r="A767" s="1262" t="s">
        <v>116</v>
      </c>
      <c r="B767" s="1264"/>
      <c r="C767" s="217" t="s">
        <v>117</v>
      </c>
      <c r="D767" s="1075" t="s">
        <v>118</v>
      </c>
      <c r="E767" s="218" t="s">
        <v>39</v>
      </c>
      <c r="F767" s="1075" t="s">
        <v>119</v>
      </c>
      <c r="G767" s="219" t="s">
        <v>120</v>
      </c>
    </row>
    <row r="768" spans="1:8" ht="15" x14ac:dyDescent="0.25">
      <c r="A768" s="1322"/>
      <c r="B768" s="1338"/>
      <c r="C768" s="220"/>
      <c r="D768" s="221"/>
      <c r="E768" s="222"/>
      <c r="F768" s="223"/>
      <c r="G768" s="224">
        <f>D768*(E768+F768)</f>
        <v>0</v>
      </c>
    </row>
    <row r="769" spans="1:7" ht="15" x14ac:dyDescent="0.25">
      <c r="A769" s="1280"/>
      <c r="B769" s="1281"/>
      <c r="C769" s="225"/>
      <c r="D769" s="221"/>
      <c r="E769" s="226"/>
      <c r="F769" s="227"/>
      <c r="G769" s="228">
        <f>D769*E769</f>
        <v>0</v>
      </c>
    </row>
    <row r="770" spans="1:7" ht="15" x14ac:dyDescent="0.25">
      <c r="A770" s="1280"/>
      <c r="B770" s="1281"/>
      <c r="C770" s="229"/>
      <c r="D770" s="221"/>
      <c r="E770" s="226"/>
      <c r="F770" s="227"/>
      <c r="G770" s="228">
        <f>D770*E770</f>
        <v>0</v>
      </c>
    </row>
    <row r="771" spans="1:7" ht="15" x14ac:dyDescent="0.25">
      <c r="A771" s="1280"/>
      <c r="B771" s="1281"/>
      <c r="C771" s="225"/>
      <c r="D771" s="221"/>
      <c r="E771" s="226"/>
      <c r="F771" s="227"/>
      <c r="G771" s="228">
        <f>D771*E771</f>
        <v>0</v>
      </c>
    </row>
    <row r="772" spans="1:7" ht="15" x14ac:dyDescent="0.25">
      <c r="A772" s="1069"/>
      <c r="B772" s="1070"/>
      <c r="C772" s="230"/>
      <c r="D772" s="231"/>
      <c r="E772" s="232"/>
      <c r="F772" s="233"/>
      <c r="G772" s="228">
        <f>D772*E772</f>
        <v>0</v>
      </c>
    </row>
    <row r="773" spans="1:7" ht="15" x14ac:dyDescent="0.25">
      <c r="A773" s="1073"/>
      <c r="B773" s="210"/>
      <c r="C773" s="211"/>
      <c r="D773" s="212"/>
      <c r="E773" s="212"/>
      <c r="F773" s="234" t="s">
        <v>121</v>
      </c>
      <c r="G773" s="231">
        <f>+SUM(G768:G772)</f>
        <v>0</v>
      </c>
    </row>
    <row r="774" spans="1:7" ht="15" x14ac:dyDescent="0.25">
      <c r="A774" s="209"/>
      <c r="B774" s="212"/>
      <c r="C774" s="211" t="s">
        <v>123</v>
      </c>
      <c r="D774" s="212"/>
      <c r="E774" s="213"/>
      <c r="F774" s="214"/>
      <c r="G774" s="215"/>
    </row>
    <row r="775" spans="1:7" ht="15" x14ac:dyDescent="0.25">
      <c r="A775" s="216" t="s">
        <v>122</v>
      </c>
      <c r="B775" s="212"/>
      <c r="C775" s="211" t="s">
        <v>123</v>
      </c>
      <c r="D775" s="212"/>
      <c r="E775" s="213"/>
      <c r="F775" s="214"/>
      <c r="G775" s="215"/>
    </row>
    <row r="776" spans="1:7" ht="15" x14ac:dyDescent="0.25">
      <c r="A776" s="209"/>
      <c r="B776" s="212"/>
      <c r="C776" s="211"/>
      <c r="D776" s="212"/>
      <c r="E776" s="213"/>
      <c r="F776" s="214"/>
      <c r="G776" s="215"/>
    </row>
    <row r="777" spans="1:7" ht="15" x14ac:dyDescent="0.25">
      <c r="A777" s="1071" t="s">
        <v>116</v>
      </c>
      <c r="B777" s="1072"/>
      <c r="C777" s="235" t="s">
        <v>117</v>
      </c>
      <c r="D777" s="236" t="s">
        <v>124</v>
      </c>
      <c r="E777" s="236" t="s">
        <v>125</v>
      </c>
      <c r="F777" s="237" t="s">
        <v>126</v>
      </c>
      <c r="G777" s="238" t="s">
        <v>120</v>
      </c>
    </row>
    <row r="778" spans="1:7" ht="29.25" x14ac:dyDescent="0.25">
      <c r="A778" s="1066" t="s">
        <v>127</v>
      </c>
      <c r="B778" s="1067"/>
      <c r="C778" s="239" t="s">
        <v>128</v>
      </c>
      <c r="D778" s="240"/>
      <c r="E778" s="241"/>
      <c r="F778" s="222"/>
      <c r="G778" s="242">
        <f>G792*0.05</f>
        <v>443.39187199999998</v>
      </c>
    </row>
    <row r="779" spans="1:7" ht="15" x14ac:dyDescent="0.25">
      <c r="A779" s="1073" t="s">
        <v>174</v>
      </c>
      <c r="B779" s="1074"/>
      <c r="C779" s="243">
        <v>1</v>
      </c>
      <c r="D779" s="221">
        <v>450000</v>
      </c>
      <c r="E779" s="244"/>
      <c r="F779" s="222">
        <v>40</v>
      </c>
      <c r="G779" s="224">
        <f>D779/F779</f>
        <v>11250</v>
      </c>
    </row>
    <row r="780" spans="1:7" ht="15" x14ac:dyDescent="0.25">
      <c r="A780" s="1073"/>
      <c r="B780" s="1074"/>
      <c r="C780" s="243"/>
      <c r="D780" s="221"/>
      <c r="E780" s="244"/>
      <c r="F780" s="222"/>
      <c r="G780" s="224"/>
    </row>
    <row r="781" spans="1:7" ht="15" x14ac:dyDescent="0.25">
      <c r="A781" s="209"/>
      <c r="B781" s="245"/>
      <c r="C781" s="246"/>
      <c r="D781" s="221"/>
      <c r="E781" s="247"/>
      <c r="F781" s="222"/>
      <c r="G781" s="248"/>
    </row>
    <row r="782" spans="1:7" ht="15" x14ac:dyDescent="0.25">
      <c r="A782" s="249"/>
      <c r="B782" s="250"/>
      <c r="C782" s="251"/>
      <c r="D782" s="252"/>
      <c r="E782" s="253"/>
      <c r="F782" s="254"/>
      <c r="G782" s="255"/>
    </row>
    <row r="783" spans="1:7" ht="15" x14ac:dyDescent="0.25">
      <c r="A783" s="209"/>
      <c r="B783" s="214"/>
      <c r="C783" s="256"/>
      <c r="D783" s="214"/>
      <c r="E783" s="212"/>
      <c r="F783" s="257" t="s">
        <v>121</v>
      </c>
      <c r="G783" s="258">
        <f>+SUM(G778:G782)</f>
        <v>11693.391872</v>
      </c>
    </row>
    <row r="784" spans="1:7" ht="15" x14ac:dyDescent="0.25">
      <c r="A784" s="209"/>
      <c r="B784" s="212"/>
      <c r="C784" s="211"/>
      <c r="D784" s="212"/>
      <c r="E784" s="213"/>
      <c r="F784" s="212"/>
      <c r="G784" s="215"/>
    </row>
    <row r="785" spans="1:9" ht="15" x14ac:dyDescent="0.25">
      <c r="A785" s="216" t="s">
        <v>130</v>
      </c>
      <c r="B785" s="212"/>
      <c r="C785" s="211"/>
      <c r="D785" s="212"/>
      <c r="E785" s="213"/>
      <c r="F785" s="214"/>
      <c r="G785" s="215"/>
    </row>
    <row r="786" spans="1:9" ht="15" x14ac:dyDescent="0.25">
      <c r="A786" s="209"/>
      <c r="B786" s="212"/>
      <c r="C786" s="211"/>
      <c r="D786" s="212"/>
      <c r="E786" s="213"/>
      <c r="F786" s="214"/>
      <c r="G786" s="215"/>
    </row>
    <row r="787" spans="1:9" ht="15" x14ac:dyDescent="0.25">
      <c r="A787" s="1071" t="s">
        <v>116</v>
      </c>
      <c r="B787" s="1072"/>
      <c r="C787" s="236" t="s">
        <v>131</v>
      </c>
      <c r="D787" s="235" t="s">
        <v>132</v>
      </c>
      <c r="E787" s="236" t="s">
        <v>133</v>
      </c>
      <c r="F787" s="237" t="s">
        <v>126</v>
      </c>
      <c r="G787" s="238" t="s">
        <v>134</v>
      </c>
    </row>
    <row r="788" spans="1:9" ht="15" x14ac:dyDescent="0.25">
      <c r="A788" s="209" t="s">
        <v>10</v>
      </c>
      <c r="B788" s="259"/>
      <c r="C788" s="260">
        <f>M2</f>
        <v>22981.8</v>
      </c>
      <c r="D788" s="261">
        <f>N2</f>
        <v>1.76</v>
      </c>
      <c r="E788" s="262">
        <f>D788*C788</f>
        <v>40447.968000000001</v>
      </c>
      <c r="F788" s="274">
        <v>0.08</v>
      </c>
      <c r="G788" s="264">
        <f>F788*E788</f>
        <v>3235.8374400000002</v>
      </c>
    </row>
    <row r="789" spans="1:9" ht="15" x14ac:dyDescent="0.25">
      <c r="A789" s="209" t="s">
        <v>140</v>
      </c>
      <c r="B789" s="259"/>
      <c r="C789" s="260">
        <f>M3</f>
        <v>40000</v>
      </c>
      <c r="D789" s="261">
        <f>N3</f>
        <v>1.76</v>
      </c>
      <c r="E789" s="262">
        <f>D789*C789</f>
        <v>70400</v>
      </c>
      <c r="F789" s="274">
        <v>0.08</v>
      </c>
      <c r="G789" s="264">
        <f>F789*E789</f>
        <v>5632</v>
      </c>
      <c r="I789" s="281"/>
    </row>
    <row r="790" spans="1:9" ht="15" x14ac:dyDescent="0.25">
      <c r="A790" s="209"/>
      <c r="B790" s="245"/>
      <c r="C790" s="265"/>
      <c r="D790" s="246"/>
      <c r="E790" s="265"/>
      <c r="F790" s="266"/>
      <c r="G790" s="267"/>
    </row>
    <row r="791" spans="1:9" ht="15" x14ac:dyDescent="0.25">
      <c r="A791" s="249"/>
      <c r="B791" s="250"/>
      <c r="C791" s="252"/>
      <c r="D791" s="251"/>
      <c r="E791" s="252"/>
      <c r="F791" s="254"/>
      <c r="G791" s="268"/>
    </row>
    <row r="792" spans="1:9" ht="15" x14ac:dyDescent="0.25">
      <c r="A792" s="209"/>
      <c r="B792" s="212"/>
      <c r="C792" s="211"/>
      <c r="D792" s="212"/>
      <c r="E792" s="269"/>
      <c r="F792" s="269" t="s">
        <v>121</v>
      </c>
      <c r="G792" s="270">
        <f>+SUM(G788:G791)</f>
        <v>8867.8374399999993</v>
      </c>
    </row>
    <row r="793" spans="1:9" ht="15" x14ac:dyDescent="0.25">
      <c r="A793" s="209"/>
      <c r="B793" s="212"/>
      <c r="C793" s="211"/>
      <c r="D793" s="212"/>
      <c r="E793" s="257"/>
      <c r="F793" s="257"/>
      <c r="G793" s="271"/>
    </row>
    <row r="794" spans="1:9" ht="15" x14ac:dyDescent="0.25">
      <c r="A794" s="216" t="s">
        <v>135</v>
      </c>
      <c r="B794" s="212"/>
      <c r="C794" s="211"/>
      <c r="D794" s="212"/>
      <c r="E794" s="213"/>
      <c r="F794" s="214"/>
      <c r="G794" s="215"/>
    </row>
    <row r="795" spans="1:9" ht="15" x14ac:dyDescent="0.25">
      <c r="A795" s="209"/>
      <c r="B795" s="212"/>
      <c r="C795" s="211"/>
      <c r="D795" s="212"/>
      <c r="E795" s="213"/>
      <c r="F795" s="214"/>
      <c r="G795" s="215"/>
    </row>
    <row r="796" spans="1:9" ht="15" x14ac:dyDescent="0.25">
      <c r="A796" s="1071" t="s">
        <v>116</v>
      </c>
      <c r="B796" s="1072"/>
      <c r="C796" s="236" t="s">
        <v>117</v>
      </c>
      <c r="D796" s="235" t="s">
        <v>136</v>
      </c>
      <c r="E796" s="236" t="s">
        <v>124</v>
      </c>
      <c r="F796" s="237" t="s">
        <v>126</v>
      </c>
      <c r="G796" s="238" t="s">
        <v>134</v>
      </c>
    </row>
    <row r="797" spans="1:9" ht="15" x14ac:dyDescent="0.25">
      <c r="A797" s="58" t="s">
        <v>175</v>
      </c>
      <c r="B797" s="272"/>
      <c r="C797" s="273" t="s">
        <v>7</v>
      </c>
      <c r="D797" s="282">
        <v>1</v>
      </c>
      <c r="E797" s="262">
        <v>3000</v>
      </c>
      <c r="F797" s="274">
        <v>1</v>
      </c>
      <c r="G797" s="264">
        <f>F797*E797</f>
        <v>3000</v>
      </c>
    </row>
    <row r="798" spans="1:9" ht="15" x14ac:dyDescent="0.25">
      <c r="A798" s="209"/>
      <c r="B798" s="275"/>
      <c r="C798" s="260"/>
      <c r="D798" s="261"/>
      <c r="E798" s="276"/>
      <c r="F798" s="222"/>
      <c r="G798" s="224"/>
    </row>
    <row r="799" spans="1:9" ht="15" x14ac:dyDescent="0.25">
      <c r="A799" s="209"/>
      <c r="B799" s="259"/>
      <c r="C799" s="260"/>
      <c r="D799" s="261"/>
      <c r="E799" s="276"/>
      <c r="F799" s="222"/>
      <c r="G799" s="224"/>
    </row>
    <row r="800" spans="1:9" ht="15" x14ac:dyDescent="0.25">
      <c r="A800" s="209"/>
      <c r="B800" s="245"/>
      <c r="C800" s="265"/>
      <c r="D800" s="246"/>
      <c r="E800" s="265"/>
      <c r="F800" s="266"/>
      <c r="G800" s="267"/>
    </row>
    <row r="801" spans="1:7" ht="15" x14ac:dyDescent="0.25">
      <c r="A801" s="249"/>
      <c r="B801" s="250"/>
      <c r="C801" s="252"/>
      <c r="D801" s="251"/>
      <c r="E801" s="252"/>
      <c r="F801" s="254"/>
      <c r="G801" s="268"/>
    </row>
    <row r="802" spans="1:7" ht="15" x14ac:dyDescent="0.25">
      <c r="A802" s="209"/>
      <c r="B802" s="212"/>
      <c r="C802" s="211"/>
      <c r="D802" s="212"/>
      <c r="E802" s="269"/>
      <c r="F802" s="269" t="s">
        <v>121</v>
      </c>
      <c r="G802" s="270">
        <f>+SUM(G797:G801)</f>
        <v>3000</v>
      </c>
    </row>
    <row r="803" spans="1:7" ht="15" x14ac:dyDescent="0.25">
      <c r="A803" s="209"/>
      <c r="B803" s="212"/>
      <c r="C803" s="211"/>
      <c r="D803" s="212"/>
      <c r="E803" s="213"/>
      <c r="F803" s="214"/>
      <c r="G803" s="271"/>
    </row>
    <row r="804" spans="1:7" ht="15" x14ac:dyDescent="0.25">
      <c r="A804" s="277"/>
      <c r="B804" s="278"/>
      <c r="C804" s="278"/>
      <c r="D804" s="278"/>
      <c r="E804" s="279"/>
      <c r="F804" s="280" t="s">
        <v>137</v>
      </c>
      <c r="G804" s="462">
        <f>+ROUND(G773+G783+G792+G802,0)</f>
        <v>23561</v>
      </c>
    </row>
    <row r="805" spans="1:7" s="1088" customFormat="1" ht="15" x14ac:dyDescent="0.25">
      <c r="A805" s="209"/>
      <c r="B805" s="212"/>
      <c r="C805" s="212"/>
      <c r="D805" s="212"/>
      <c r="E805" s="211"/>
      <c r="F805" s="257"/>
      <c r="G805" s="257"/>
    </row>
    <row r="806" spans="1:7" ht="15" x14ac:dyDescent="0.25">
      <c r="A806" s="145" t="s">
        <v>160</v>
      </c>
      <c r="B806" s="1262" t="s">
        <v>161</v>
      </c>
      <c r="C806" s="1263"/>
      <c r="D806" s="1263"/>
      <c r="E806" s="1263"/>
      <c r="F806" s="1264"/>
      <c r="G806" s="146" t="s">
        <v>2</v>
      </c>
    </row>
    <row r="807" spans="1:7" ht="15" x14ac:dyDescent="0.25">
      <c r="A807" s="284">
        <f>'FORMATO PROPUESTA ECONÓMICA'!A37</f>
        <v>6.5</v>
      </c>
      <c r="B807" s="1265" t="str">
        <f>'FORMATO PROPUESTA ECONÓMICA'!B37</f>
        <v xml:space="preserve">Tubería de polietileno para acueducto PE 100 PN 10, Øint. 176,2 mm, (200 mm). </v>
      </c>
      <c r="C807" s="1266"/>
      <c r="D807" s="1266"/>
      <c r="E807" s="1266"/>
      <c r="F807" s="1267"/>
      <c r="G807" s="187" t="str">
        <f>'FORMATO PROPUESTA ECONÓMICA'!C37</f>
        <v>m</v>
      </c>
    </row>
    <row r="808" spans="1:7" ht="15" x14ac:dyDescent="0.25">
      <c r="A808" s="209"/>
      <c r="B808" s="210"/>
      <c r="C808" s="211"/>
      <c r="D808" s="212"/>
      <c r="E808" s="213"/>
      <c r="F808" s="214"/>
      <c r="G808" s="215"/>
    </row>
    <row r="809" spans="1:7" ht="15" x14ac:dyDescent="0.25">
      <c r="A809" s="216" t="s">
        <v>115</v>
      </c>
      <c r="B809" s="212"/>
      <c r="C809" s="211"/>
      <c r="D809" s="212"/>
      <c r="E809" s="213"/>
      <c r="F809" s="214"/>
      <c r="G809" s="215"/>
    </row>
    <row r="810" spans="1:7" ht="15" x14ac:dyDescent="0.25">
      <c r="A810" s="209"/>
      <c r="B810" s="212"/>
      <c r="C810" s="211"/>
      <c r="D810" s="212"/>
      <c r="E810" s="213"/>
      <c r="F810" s="214"/>
      <c r="G810" s="215"/>
    </row>
    <row r="811" spans="1:7" ht="15" x14ac:dyDescent="0.25">
      <c r="A811" s="1262" t="s">
        <v>116</v>
      </c>
      <c r="B811" s="1264"/>
      <c r="C811" s="217" t="s">
        <v>117</v>
      </c>
      <c r="D811" s="1075" t="s">
        <v>118</v>
      </c>
      <c r="E811" s="218" t="s">
        <v>39</v>
      </c>
      <c r="F811" s="1075" t="s">
        <v>119</v>
      </c>
      <c r="G811" s="219" t="s">
        <v>120</v>
      </c>
    </row>
    <row r="812" spans="1:7" ht="15" customHeight="1" x14ac:dyDescent="0.25">
      <c r="A812" s="1322"/>
      <c r="B812" s="1338"/>
      <c r="C812" s="220"/>
      <c r="D812" s="221"/>
      <c r="E812" s="222"/>
      <c r="F812" s="223"/>
      <c r="G812" s="224">
        <f>D812*(E812+F812)</f>
        <v>0</v>
      </c>
    </row>
    <row r="813" spans="1:7" ht="15" x14ac:dyDescent="0.25">
      <c r="A813" s="1280"/>
      <c r="B813" s="1281"/>
      <c r="C813" s="225"/>
      <c r="D813" s="221"/>
      <c r="E813" s="226"/>
      <c r="F813" s="227"/>
      <c r="G813" s="228">
        <f>D813*E813</f>
        <v>0</v>
      </c>
    </row>
    <row r="814" spans="1:7" ht="15" x14ac:dyDescent="0.25">
      <c r="A814" s="1280"/>
      <c r="B814" s="1281"/>
      <c r="C814" s="229"/>
      <c r="D814" s="221"/>
      <c r="E814" s="226"/>
      <c r="F814" s="227"/>
      <c r="G814" s="228">
        <f>D814*E814</f>
        <v>0</v>
      </c>
    </row>
    <row r="815" spans="1:7" ht="15" x14ac:dyDescent="0.25">
      <c r="A815" s="1280"/>
      <c r="B815" s="1281"/>
      <c r="C815" s="225"/>
      <c r="D815" s="221"/>
      <c r="E815" s="226"/>
      <c r="F815" s="227"/>
      <c r="G815" s="228">
        <f>D815*E815</f>
        <v>0</v>
      </c>
    </row>
    <row r="816" spans="1:7" ht="15" x14ac:dyDescent="0.25">
      <c r="A816" s="1069"/>
      <c r="B816" s="1070"/>
      <c r="C816" s="230"/>
      <c r="D816" s="231"/>
      <c r="E816" s="232"/>
      <c r="F816" s="233"/>
      <c r="G816" s="228">
        <f>D816*E816</f>
        <v>0</v>
      </c>
    </row>
    <row r="817" spans="1:7" ht="15" x14ac:dyDescent="0.25">
      <c r="A817" s="1073"/>
      <c r="B817" s="210"/>
      <c r="C817" s="211"/>
      <c r="D817" s="212"/>
      <c r="E817" s="212"/>
      <c r="F817" s="234" t="s">
        <v>121</v>
      </c>
      <c r="G817" s="231">
        <f>+SUM(G812:G816)</f>
        <v>0</v>
      </c>
    </row>
    <row r="818" spans="1:7" ht="15" x14ac:dyDescent="0.25">
      <c r="A818" s="209"/>
      <c r="B818" s="212"/>
      <c r="C818" s="211" t="s">
        <v>123</v>
      </c>
      <c r="D818" s="212"/>
      <c r="E818" s="213"/>
      <c r="F818" s="214"/>
      <c r="G818" s="215"/>
    </row>
    <row r="819" spans="1:7" ht="15" x14ac:dyDescent="0.25">
      <c r="A819" s="216" t="s">
        <v>122</v>
      </c>
      <c r="B819" s="212"/>
      <c r="C819" s="211" t="s">
        <v>123</v>
      </c>
      <c r="D819" s="212"/>
      <c r="E819" s="213"/>
      <c r="F819" s="214"/>
      <c r="G819" s="215"/>
    </row>
    <row r="820" spans="1:7" ht="15" x14ac:dyDescent="0.25">
      <c r="A820" s="209"/>
      <c r="B820" s="212"/>
      <c r="C820" s="211"/>
      <c r="D820" s="212"/>
      <c r="E820" s="213"/>
      <c r="F820" s="214"/>
      <c r="G820" s="215"/>
    </row>
    <row r="821" spans="1:7" ht="15" x14ac:dyDescent="0.25">
      <c r="A821" s="1071" t="s">
        <v>116</v>
      </c>
      <c r="B821" s="1072"/>
      <c r="C821" s="235" t="s">
        <v>117</v>
      </c>
      <c r="D821" s="236" t="s">
        <v>124</v>
      </c>
      <c r="E821" s="236" t="s">
        <v>125</v>
      </c>
      <c r="F821" s="237" t="s">
        <v>126</v>
      </c>
      <c r="G821" s="238" t="s">
        <v>120</v>
      </c>
    </row>
    <row r="822" spans="1:7" ht="29.25" x14ac:dyDescent="0.25">
      <c r="A822" s="1066" t="s">
        <v>127</v>
      </c>
      <c r="B822" s="1067"/>
      <c r="C822" s="239" t="s">
        <v>128</v>
      </c>
      <c r="D822" s="240"/>
      <c r="E822" s="241"/>
      <c r="F822" s="222"/>
      <c r="G822" s="242">
        <f>G836*0.05</f>
        <v>443.39187199999998</v>
      </c>
    </row>
    <row r="823" spans="1:7" ht="15" x14ac:dyDescent="0.25">
      <c r="A823" s="1073" t="s">
        <v>174</v>
      </c>
      <c r="B823" s="1074"/>
      <c r="C823" s="243">
        <v>1</v>
      </c>
      <c r="D823" s="221">
        <v>450000</v>
      </c>
      <c r="E823" s="244"/>
      <c r="F823" s="222">
        <v>25</v>
      </c>
      <c r="G823" s="224">
        <f>D823/F823</f>
        <v>18000</v>
      </c>
    </row>
    <row r="824" spans="1:7" ht="15" x14ac:dyDescent="0.25">
      <c r="A824" s="1073"/>
      <c r="B824" s="1074"/>
      <c r="C824" s="243"/>
      <c r="D824" s="221"/>
      <c r="E824" s="244"/>
      <c r="F824" s="222"/>
      <c r="G824" s="224"/>
    </row>
    <row r="825" spans="1:7" ht="15" x14ac:dyDescent="0.25">
      <c r="A825" s="209"/>
      <c r="B825" s="245"/>
      <c r="C825" s="246"/>
      <c r="D825" s="221"/>
      <c r="E825" s="247"/>
      <c r="F825" s="222"/>
      <c r="G825" s="248"/>
    </row>
    <row r="826" spans="1:7" ht="15" x14ac:dyDescent="0.25">
      <c r="A826" s="249"/>
      <c r="B826" s="250"/>
      <c r="C826" s="251"/>
      <c r="D826" s="252"/>
      <c r="E826" s="253"/>
      <c r="F826" s="254"/>
      <c r="G826" s="255"/>
    </row>
    <row r="827" spans="1:7" ht="15" x14ac:dyDescent="0.25">
      <c r="A827" s="209"/>
      <c r="B827" s="214"/>
      <c r="C827" s="256"/>
      <c r="D827" s="214"/>
      <c r="E827" s="212"/>
      <c r="F827" s="257" t="s">
        <v>121</v>
      </c>
      <c r="G827" s="258">
        <f>+SUM(G822:G826)</f>
        <v>18443.391872</v>
      </c>
    </row>
    <row r="828" spans="1:7" ht="15" x14ac:dyDescent="0.25">
      <c r="A828" s="209"/>
      <c r="B828" s="212"/>
      <c r="C828" s="211"/>
      <c r="D828" s="212"/>
      <c r="E828" s="213"/>
      <c r="F828" s="212"/>
      <c r="G828" s="215"/>
    </row>
    <row r="829" spans="1:7" ht="15" x14ac:dyDescent="0.25">
      <c r="A829" s="216" t="s">
        <v>130</v>
      </c>
      <c r="B829" s="212"/>
      <c r="C829" s="211"/>
      <c r="D829" s="212"/>
      <c r="E829" s="213"/>
      <c r="F829" s="214"/>
      <c r="G829" s="215"/>
    </row>
    <row r="830" spans="1:7" ht="15" x14ac:dyDescent="0.25">
      <c r="A830" s="209"/>
      <c r="B830" s="212"/>
      <c r="C830" s="211"/>
      <c r="D830" s="212"/>
      <c r="E830" s="213"/>
      <c r="F830" s="214"/>
      <c r="G830" s="215"/>
    </row>
    <row r="831" spans="1:7" ht="15" x14ac:dyDescent="0.25">
      <c r="A831" s="1071" t="s">
        <v>116</v>
      </c>
      <c r="B831" s="1072"/>
      <c r="C831" s="236" t="s">
        <v>131</v>
      </c>
      <c r="D831" s="235" t="s">
        <v>132</v>
      </c>
      <c r="E831" s="236" t="s">
        <v>133</v>
      </c>
      <c r="F831" s="237" t="s">
        <v>126</v>
      </c>
      <c r="G831" s="238" t="s">
        <v>134</v>
      </c>
    </row>
    <row r="832" spans="1:7" ht="15" x14ac:dyDescent="0.25">
      <c r="A832" s="209" t="s">
        <v>10</v>
      </c>
      <c r="B832" s="259"/>
      <c r="C832" s="260">
        <f>M2</f>
        <v>22981.8</v>
      </c>
      <c r="D832" s="261">
        <f>N2</f>
        <v>1.76</v>
      </c>
      <c r="E832" s="262">
        <f>D832*C832</f>
        <v>40447.968000000001</v>
      </c>
      <c r="F832" s="274">
        <v>0.08</v>
      </c>
      <c r="G832" s="264">
        <f>F832*E832</f>
        <v>3235.8374400000002</v>
      </c>
    </row>
    <row r="833" spans="1:9" ht="15" x14ac:dyDescent="0.25">
      <c r="A833" s="209" t="s">
        <v>140</v>
      </c>
      <c r="B833" s="259"/>
      <c r="C833" s="260">
        <f>M3</f>
        <v>40000</v>
      </c>
      <c r="D833" s="261">
        <f>N3</f>
        <v>1.76</v>
      </c>
      <c r="E833" s="262">
        <f>D833*C833</f>
        <v>70400</v>
      </c>
      <c r="F833" s="274">
        <v>0.08</v>
      </c>
      <c r="G833" s="264">
        <f>F833*E833</f>
        <v>5632</v>
      </c>
      <c r="I833" s="281"/>
    </row>
    <row r="834" spans="1:9" ht="15" x14ac:dyDescent="0.25">
      <c r="A834" s="209"/>
      <c r="B834" s="245"/>
      <c r="C834" s="265"/>
      <c r="D834" s="246"/>
      <c r="E834" s="265"/>
      <c r="F834" s="266"/>
      <c r="G834" s="267"/>
    </row>
    <row r="835" spans="1:9" ht="15" x14ac:dyDescent="0.25">
      <c r="A835" s="249"/>
      <c r="B835" s="250"/>
      <c r="C835" s="252"/>
      <c r="D835" s="251"/>
      <c r="E835" s="252"/>
      <c r="F835" s="254"/>
      <c r="G835" s="268"/>
    </row>
    <row r="836" spans="1:9" ht="15" x14ac:dyDescent="0.25">
      <c r="A836" s="209"/>
      <c r="B836" s="212"/>
      <c r="C836" s="211"/>
      <c r="D836" s="212"/>
      <c r="E836" s="269"/>
      <c r="F836" s="269" t="s">
        <v>121</v>
      </c>
      <c r="G836" s="270">
        <f>+SUM(G832:G835)</f>
        <v>8867.8374399999993</v>
      </c>
    </row>
    <row r="837" spans="1:9" ht="15" x14ac:dyDescent="0.25">
      <c r="A837" s="209"/>
      <c r="B837" s="212"/>
      <c r="C837" s="211"/>
      <c r="D837" s="212"/>
      <c r="E837" s="257"/>
      <c r="F837" s="257"/>
      <c r="G837" s="271"/>
    </row>
    <row r="838" spans="1:9" ht="15" x14ac:dyDescent="0.25">
      <c r="A838" s="216" t="s">
        <v>135</v>
      </c>
      <c r="B838" s="212"/>
      <c r="C838" s="211"/>
      <c r="D838" s="212"/>
      <c r="E838" s="213"/>
      <c r="F838" s="214"/>
      <c r="G838" s="215"/>
    </row>
    <row r="839" spans="1:9" ht="15" x14ac:dyDescent="0.25">
      <c r="A839" s="209"/>
      <c r="B839" s="212"/>
      <c r="C839" s="211"/>
      <c r="D839" s="212"/>
      <c r="E839" s="213"/>
      <c r="F839" s="214"/>
      <c r="G839" s="215"/>
    </row>
    <row r="840" spans="1:9" ht="15" x14ac:dyDescent="0.25">
      <c r="A840" s="1071" t="s">
        <v>116</v>
      </c>
      <c r="B840" s="1072"/>
      <c r="C840" s="236" t="s">
        <v>117</v>
      </c>
      <c r="D840" s="235" t="s">
        <v>136</v>
      </c>
      <c r="E840" s="236" t="s">
        <v>124</v>
      </c>
      <c r="F840" s="237" t="s">
        <v>126</v>
      </c>
      <c r="G840" s="238" t="s">
        <v>134</v>
      </c>
    </row>
    <row r="841" spans="1:9" ht="15" x14ac:dyDescent="0.25">
      <c r="A841" s="58" t="s">
        <v>175</v>
      </c>
      <c r="B841" s="272"/>
      <c r="C841" s="273" t="s">
        <v>7</v>
      </c>
      <c r="D841" s="282">
        <v>1</v>
      </c>
      <c r="E841" s="262">
        <v>3000</v>
      </c>
      <c r="F841" s="274">
        <v>1</v>
      </c>
      <c r="G841" s="264">
        <f>F841*E841</f>
        <v>3000</v>
      </c>
    </row>
    <row r="842" spans="1:9" ht="15" x14ac:dyDescent="0.25">
      <c r="A842" s="209"/>
      <c r="B842" s="275"/>
      <c r="C842" s="260"/>
      <c r="D842" s="261"/>
      <c r="E842" s="276"/>
      <c r="F842" s="222"/>
      <c r="G842" s="224"/>
    </row>
    <row r="843" spans="1:9" ht="15" x14ac:dyDescent="0.25">
      <c r="A843" s="209"/>
      <c r="B843" s="259"/>
      <c r="C843" s="260"/>
      <c r="D843" s="261"/>
      <c r="E843" s="276"/>
      <c r="F843" s="222"/>
      <c r="G843" s="224"/>
    </row>
    <row r="844" spans="1:9" ht="15" x14ac:dyDescent="0.25">
      <c r="A844" s="209"/>
      <c r="B844" s="245"/>
      <c r="C844" s="265"/>
      <c r="D844" s="246"/>
      <c r="E844" s="265"/>
      <c r="F844" s="266"/>
      <c r="G844" s="267"/>
    </row>
    <row r="845" spans="1:9" ht="15" x14ac:dyDescent="0.25">
      <c r="A845" s="249"/>
      <c r="B845" s="250"/>
      <c r="C845" s="252"/>
      <c r="D845" s="251"/>
      <c r="E845" s="252"/>
      <c r="F845" s="254"/>
      <c r="G845" s="268"/>
    </row>
    <row r="846" spans="1:9" ht="15" x14ac:dyDescent="0.25">
      <c r="A846" s="209"/>
      <c r="B846" s="212"/>
      <c r="C846" s="211"/>
      <c r="D846" s="212"/>
      <c r="E846" s="269"/>
      <c r="F846" s="269" t="s">
        <v>121</v>
      </c>
      <c r="G846" s="270">
        <f>+SUM(G841:G845)</f>
        <v>3000</v>
      </c>
    </row>
    <row r="847" spans="1:9" ht="15" x14ac:dyDescent="0.25">
      <c r="A847" s="209"/>
      <c r="B847" s="212"/>
      <c r="C847" s="211"/>
      <c r="D847" s="212"/>
      <c r="E847" s="213"/>
      <c r="F847" s="214"/>
      <c r="G847" s="271"/>
    </row>
    <row r="848" spans="1:9" ht="15" x14ac:dyDescent="0.25">
      <c r="A848" s="277"/>
      <c r="B848" s="278"/>
      <c r="C848" s="278"/>
      <c r="D848" s="278"/>
      <c r="E848" s="279"/>
      <c r="F848" s="280" t="s">
        <v>137</v>
      </c>
      <c r="G848" s="462">
        <f>+ROUND(G817+G827+G836+G846,0)</f>
        <v>30311</v>
      </c>
    </row>
    <row r="849" spans="1:7" s="1088" customFormat="1" ht="15" x14ac:dyDescent="0.25">
      <c r="A849" s="209"/>
      <c r="B849" s="212"/>
      <c r="C849" s="212"/>
      <c r="D849" s="212"/>
      <c r="E849" s="211"/>
      <c r="F849" s="257"/>
      <c r="G849" s="257"/>
    </row>
    <row r="850" spans="1:7" ht="15" x14ac:dyDescent="0.25">
      <c r="A850" s="58"/>
      <c r="B850" s="54"/>
      <c r="C850" s="55"/>
      <c r="D850" s="54"/>
      <c r="E850" s="56"/>
      <c r="F850" s="54"/>
      <c r="G850" s="57"/>
    </row>
    <row r="851" spans="1:7" s="1088" customFormat="1" ht="15" x14ac:dyDescent="0.25">
      <c r="A851" s="145" t="s">
        <v>160</v>
      </c>
      <c r="B851" s="1262" t="s">
        <v>161</v>
      </c>
      <c r="C851" s="1263"/>
      <c r="D851" s="1263"/>
      <c r="E851" s="1263"/>
      <c r="F851" s="1264"/>
      <c r="G851" s="146" t="s">
        <v>2</v>
      </c>
    </row>
    <row r="852" spans="1:7" s="1088" customFormat="1" ht="15" x14ac:dyDescent="0.25">
      <c r="A852" s="1050">
        <f>'FORMATO PROPUESTA ECONÓMICA'!A38</f>
        <v>6.6</v>
      </c>
      <c r="B852" s="1265" t="str">
        <f>'FORMATO PROPUESTA ECONÓMICA'!B38</f>
        <v>Tee PEAD PN10 d= 63x63 Termofusion</v>
      </c>
      <c r="C852" s="1266"/>
      <c r="D852" s="1266"/>
      <c r="E852" s="1266"/>
      <c r="F852" s="1267"/>
      <c r="G852" s="187" t="str">
        <f>'FORMATO PROPUESTA ECONÓMICA'!C38</f>
        <v>und</v>
      </c>
    </row>
    <row r="853" spans="1:7" s="1088" customFormat="1" ht="14.25" x14ac:dyDescent="0.2">
      <c r="A853" s="209"/>
      <c r="B853" s="210"/>
      <c r="C853" s="211"/>
      <c r="D853" s="212"/>
      <c r="E853" s="213"/>
      <c r="F853" s="214"/>
      <c r="G853" s="215"/>
    </row>
    <row r="854" spans="1:7" s="1088" customFormat="1" ht="15" x14ac:dyDescent="0.25">
      <c r="A854" s="216" t="s">
        <v>115</v>
      </c>
      <c r="B854" s="212"/>
      <c r="C854" s="211"/>
      <c r="D854" s="212"/>
      <c r="E854" s="213"/>
      <c r="F854" s="214"/>
      <c r="G854" s="215"/>
    </row>
    <row r="855" spans="1:7" s="1088" customFormat="1" ht="14.25" x14ac:dyDescent="0.2">
      <c r="A855" s="209"/>
      <c r="B855" s="212"/>
      <c r="C855" s="211"/>
      <c r="D855" s="212"/>
      <c r="E855" s="213"/>
      <c r="F855" s="214"/>
      <c r="G855" s="215"/>
    </row>
    <row r="856" spans="1:7" s="1088" customFormat="1" ht="15" x14ac:dyDescent="0.25">
      <c r="A856" s="1075" t="s">
        <v>116</v>
      </c>
      <c r="B856" s="1076"/>
      <c r="C856" s="217" t="s">
        <v>117</v>
      </c>
      <c r="D856" s="1075" t="s">
        <v>118</v>
      </c>
      <c r="E856" s="218" t="s">
        <v>39</v>
      </c>
      <c r="F856" s="1075" t="s">
        <v>119</v>
      </c>
      <c r="G856" s="219" t="s">
        <v>120</v>
      </c>
    </row>
    <row r="857" spans="1:7" s="1088" customFormat="1" ht="14.25" x14ac:dyDescent="0.2">
      <c r="A857" s="209"/>
      <c r="B857" s="286"/>
      <c r="C857" s="220"/>
      <c r="D857" s="261"/>
      <c r="E857" s="276"/>
      <c r="F857" s="222"/>
      <c r="G857" s="224"/>
    </row>
    <row r="858" spans="1:7" s="1088" customFormat="1" ht="15" customHeight="1" x14ac:dyDescent="0.2">
      <c r="A858" s="1060"/>
      <c r="B858" s="1068"/>
      <c r="C858" s="225"/>
      <c r="D858" s="221"/>
      <c r="E858" s="226"/>
      <c r="F858" s="227"/>
      <c r="G858" s="228">
        <f>D858*E858</f>
        <v>0</v>
      </c>
    </row>
    <row r="859" spans="1:7" s="1088" customFormat="1" ht="14.25" x14ac:dyDescent="0.2">
      <c r="A859" s="1060"/>
      <c r="B859" s="1068"/>
      <c r="C859" s="229"/>
      <c r="D859" s="221"/>
      <c r="E859" s="226"/>
      <c r="F859" s="227"/>
      <c r="G859" s="228">
        <f>D859*E859</f>
        <v>0</v>
      </c>
    </row>
    <row r="860" spans="1:7" s="1088" customFormat="1" ht="14.25" x14ac:dyDescent="0.2">
      <c r="A860" s="1060"/>
      <c r="B860" s="1068"/>
      <c r="C860" s="225"/>
      <c r="D860" s="221"/>
      <c r="E860" s="226"/>
      <c r="F860" s="227"/>
      <c r="G860" s="228">
        <f>D860*E860</f>
        <v>0</v>
      </c>
    </row>
    <row r="861" spans="1:7" s="1088" customFormat="1" ht="14.25" x14ac:dyDescent="0.2">
      <c r="A861" s="1069"/>
      <c r="B861" s="1070"/>
      <c r="C861" s="230"/>
      <c r="D861" s="231"/>
      <c r="E861" s="232"/>
      <c r="F861" s="233"/>
      <c r="G861" s="228">
        <f>D861*E861</f>
        <v>0</v>
      </c>
    </row>
    <row r="862" spans="1:7" s="1088" customFormat="1" ht="15" x14ac:dyDescent="0.25">
      <c r="A862" s="1073"/>
      <c r="B862" s="210"/>
      <c r="C862" s="211"/>
      <c r="D862" s="212"/>
      <c r="E862" s="212"/>
      <c r="F862" s="234" t="s">
        <v>121</v>
      </c>
      <c r="G862" s="231">
        <f>+SUM(G857:G861)</f>
        <v>0</v>
      </c>
    </row>
    <row r="863" spans="1:7" s="1088" customFormat="1" ht="14.25" x14ac:dyDescent="0.2">
      <c r="A863" s="209"/>
      <c r="B863" s="212"/>
      <c r="C863" s="211" t="s">
        <v>123</v>
      </c>
      <c r="D863" s="212"/>
      <c r="E863" s="213"/>
      <c r="F863" s="214"/>
      <c r="G863" s="215"/>
    </row>
    <row r="864" spans="1:7" s="1088" customFormat="1" ht="15" x14ac:dyDescent="0.25">
      <c r="A864" s="216" t="s">
        <v>122</v>
      </c>
      <c r="B864" s="212"/>
      <c r="C864" s="211" t="s">
        <v>123</v>
      </c>
      <c r="D864" s="212"/>
      <c r="E864" s="213"/>
      <c r="F864" s="214"/>
      <c r="G864" s="215"/>
    </row>
    <row r="865" spans="1:7" s="1088" customFormat="1" ht="14.25" x14ac:dyDescent="0.2">
      <c r="A865" s="209"/>
      <c r="B865" s="212"/>
      <c r="C865" s="211"/>
      <c r="D865" s="212"/>
      <c r="E865" s="213"/>
      <c r="F865" s="214"/>
      <c r="G865" s="215"/>
    </row>
    <row r="866" spans="1:7" s="1088" customFormat="1" ht="15" x14ac:dyDescent="0.25">
      <c r="A866" s="1071" t="s">
        <v>116</v>
      </c>
      <c r="B866" s="1072"/>
      <c r="C866" s="235" t="s">
        <v>117</v>
      </c>
      <c r="D866" s="236" t="s">
        <v>124</v>
      </c>
      <c r="E866" s="236" t="s">
        <v>125</v>
      </c>
      <c r="F866" s="237" t="s">
        <v>126</v>
      </c>
      <c r="G866" s="238" t="s">
        <v>120</v>
      </c>
    </row>
    <row r="867" spans="1:7" s="1088" customFormat="1" ht="28.5" x14ac:dyDescent="0.2">
      <c r="A867" s="1066" t="s">
        <v>127</v>
      </c>
      <c r="B867" s="1067"/>
      <c r="C867" s="239" t="s">
        <v>128</v>
      </c>
      <c r="D867" s="240"/>
      <c r="E867" s="241"/>
      <c r="F867" s="222"/>
      <c r="G867" s="242">
        <f>G881*0.05</f>
        <v>692.7998</v>
      </c>
    </row>
    <row r="868" spans="1:7" s="1088" customFormat="1" ht="14.25" x14ac:dyDescent="0.2">
      <c r="A868" s="1073" t="s">
        <v>174</v>
      </c>
      <c r="B868" s="1074"/>
      <c r="C868" s="243" t="s">
        <v>176</v>
      </c>
      <c r="D868" s="221">
        <v>450000</v>
      </c>
      <c r="E868" s="244"/>
      <c r="F868" s="222">
        <v>30</v>
      </c>
      <c r="G868" s="224">
        <f>D868/F868</f>
        <v>15000</v>
      </c>
    </row>
    <row r="869" spans="1:7" s="1088" customFormat="1" ht="14.25" x14ac:dyDescent="0.2">
      <c r="A869" s="1073"/>
      <c r="B869" s="1074"/>
      <c r="C869" s="243"/>
      <c r="D869" s="221"/>
      <c r="E869" s="244"/>
      <c r="F869" s="222"/>
      <c r="G869" s="224"/>
    </row>
    <row r="870" spans="1:7" s="1088" customFormat="1" ht="14.25" x14ac:dyDescent="0.2">
      <c r="A870" s="209"/>
      <c r="B870" s="245"/>
      <c r="C870" s="246"/>
      <c r="D870" s="221"/>
      <c r="E870" s="247"/>
      <c r="F870" s="222"/>
      <c r="G870" s="248"/>
    </row>
    <row r="871" spans="1:7" s="1088" customFormat="1" ht="14.25" x14ac:dyDescent="0.2">
      <c r="A871" s="249"/>
      <c r="B871" s="250"/>
      <c r="C871" s="251"/>
      <c r="D871" s="252"/>
      <c r="E871" s="253"/>
      <c r="F871" s="254"/>
      <c r="G871" s="255"/>
    </row>
    <row r="872" spans="1:7" s="1088" customFormat="1" ht="15" x14ac:dyDescent="0.25">
      <c r="A872" s="209"/>
      <c r="B872" s="214"/>
      <c r="C872" s="256"/>
      <c r="D872" s="214"/>
      <c r="E872" s="212"/>
      <c r="F872" s="257" t="s">
        <v>121</v>
      </c>
      <c r="G872" s="258">
        <f>+SUM(G867:G871)</f>
        <v>15692.799800000001</v>
      </c>
    </row>
    <row r="873" spans="1:7" s="1088" customFormat="1" ht="14.25" x14ac:dyDescent="0.2">
      <c r="A873" s="209"/>
      <c r="B873" s="212"/>
      <c r="C873" s="211"/>
      <c r="D873" s="212"/>
      <c r="E873" s="213"/>
      <c r="F873" s="212"/>
      <c r="G873" s="215"/>
    </row>
    <row r="874" spans="1:7" s="1088" customFormat="1" ht="15" x14ac:dyDescent="0.25">
      <c r="A874" s="216" t="s">
        <v>130</v>
      </c>
      <c r="B874" s="212"/>
      <c r="C874" s="211"/>
      <c r="D874" s="212"/>
      <c r="E874" s="213"/>
      <c r="F874" s="214"/>
      <c r="G874" s="215"/>
    </row>
    <row r="875" spans="1:7" s="1088" customFormat="1" ht="14.25" x14ac:dyDescent="0.2">
      <c r="A875" s="209"/>
      <c r="B875" s="212"/>
      <c r="C875" s="211"/>
      <c r="D875" s="212"/>
      <c r="E875" s="213"/>
      <c r="F875" s="214"/>
      <c r="G875" s="215"/>
    </row>
    <row r="876" spans="1:7" s="1088" customFormat="1" ht="15" x14ac:dyDescent="0.25">
      <c r="A876" s="1071" t="s">
        <v>116</v>
      </c>
      <c r="B876" s="1072"/>
      <c r="C876" s="236" t="s">
        <v>131</v>
      </c>
      <c r="D876" s="235" t="s">
        <v>132</v>
      </c>
      <c r="E876" s="236" t="s">
        <v>133</v>
      </c>
      <c r="F876" s="237" t="s">
        <v>126</v>
      </c>
      <c r="G876" s="238" t="s">
        <v>134</v>
      </c>
    </row>
    <row r="877" spans="1:7" s="1088" customFormat="1" ht="14.25" x14ac:dyDescent="0.2">
      <c r="A877" s="209" t="s">
        <v>10</v>
      </c>
      <c r="B877" s="259"/>
      <c r="C877" s="260">
        <f>M2</f>
        <v>22981.8</v>
      </c>
      <c r="D877" s="261">
        <f>N2</f>
        <v>1.76</v>
      </c>
      <c r="E877" s="276">
        <f>C877*D877</f>
        <v>40447.968000000001</v>
      </c>
      <c r="F877" s="222">
        <f>1/8</f>
        <v>0.125</v>
      </c>
      <c r="G877" s="224">
        <f>F877*E877</f>
        <v>5055.9960000000001</v>
      </c>
    </row>
    <row r="878" spans="1:7" s="1088" customFormat="1" ht="14.25" x14ac:dyDescent="0.2">
      <c r="A878" s="209" t="s">
        <v>140</v>
      </c>
      <c r="B878" s="259"/>
      <c r="C878" s="260">
        <f>M3</f>
        <v>40000</v>
      </c>
      <c r="D878" s="261">
        <f>N3</f>
        <v>1.76</v>
      </c>
      <c r="E878" s="276">
        <f>C878*D878</f>
        <v>70400</v>
      </c>
      <c r="F878" s="222">
        <f>1/8</f>
        <v>0.125</v>
      </c>
      <c r="G878" s="224">
        <f>F878*E878</f>
        <v>8800</v>
      </c>
    </row>
    <row r="879" spans="1:7" s="1088" customFormat="1" ht="14.25" x14ac:dyDescent="0.2">
      <c r="A879" s="209"/>
      <c r="B879" s="245"/>
      <c r="C879" s="265"/>
      <c r="D879" s="246"/>
      <c r="E879" s="265"/>
      <c r="F879" s="266"/>
      <c r="G879" s="267"/>
    </row>
    <row r="880" spans="1:7" s="1088" customFormat="1" ht="14.25" x14ac:dyDescent="0.2">
      <c r="A880" s="249"/>
      <c r="B880" s="250"/>
      <c r="C880" s="252"/>
      <c r="D880" s="251"/>
      <c r="E880" s="252"/>
      <c r="F880" s="254"/>
      <c r="G880" s="268"/>
    </row>
    <row r="881" spans="1:7" s="1088" customFormat="1" ht="15" x14ac:dyDescent="0.25">
      <c r="A881" s="209"/>
      <c r="B881" s="212"/>
      <c r="C881" s="211"/>
      <c r="D881" s="212"/>
      <c r="E881" s="269"/>
      <c r="F881" s="269" t="s">
        <v>121</v>
      </c>
      <c r="G881" s="270">
        <f>+SUM(G877:G880)</f>
        <v>13855.995999999999</v>
      </c>
    </row>
    <row r="882" spans="1:7" s="1088" customFormat="1" ht="15" x14ac:dyDescent="0.25">
      <c r="A882" s="209"/>
      <c r="B882" s="212"/>
      <c r="C882" s="211"/>
      <c r="D882" s="212"/>
      <c r="E882" s="257"/>
      <c r="F882" s="257"/>
      <c r="G882" s="271"/>
    </row>
    <row r="883" spans="1:7" s="1088" customFormat="1" ht="15" x14ac:dyDescent="0.25">
      <c r="A883" s="216" t="s">
        <v>135</v>
      </c>
      <c r="B883" s="212"/>
      <c r="C883" s="211"/>
      <c r="D883" s="212"/>
      <c r="E883" s="213"/>
      <c r="F883" s="214"/>
      <c r="G883" s="215"/>
    </row>
    <row r="884" spans="1:7" s="1088" customFormat="1" ht="14.25" x14ac:dyDescent="0.2">
      <c r="A884" s="209"/>
      <c r="B884" s="212"/>
      <c r="C884" s="211"/>
      <c r="D884" s="212"/>
      <c r="E884" s="213"/>
      <c r="F884" s="214"/>
      <c r="G884" s="215"/>
    </row>
    <row r="885" spans="1:7" s="1088" customFormat="1" ht="15" x14ac:dyDescent="0.25">
      <c r="A885" s="1071" t="s">
        <v>116</v>
      </c>
      <c r="B885" s="1072"/>
      <c r="C885" s="236" t="s">
        <v>117</v>
      </c>
      <c r="D885" s="235" t="s">
        <v>136</v>
      </c>
      <c r="E885" s="236" t="s">
        <v>124</v>
      </c>
      <c r="F885" s="237" t="s">
        <v>126</v>
      </c>
      <c r="G885" s="238" t="s">
        <v>134</v>
      </c>
    </row>
    <row r="886" spans="1:7" s="1088" customFormat="1" ht="14.25" x14ac:dyDescent="0.2">
      <c r="A886" s="209" t="s">
        <v>175</v>
      </c>
      <c r="B886" s="286"/>
      <c r="C886" s="287" t="s">
        <v>79</v>
      </c>
      <c r="D886" s="261"/>
      <c r="E886" s="276">
        <v>68000</v>
      </c>
      <c r="F886" s="222">
        <f>1/30</f>
        <v>3.3333333333333333E-2</v>
      </c>
      <c r="G886" s="224">
        <f>F886*E886</f>
        <v>2266.6666666666665</v>
      </c>
    </row>
    <row r="887" spans="1:7" s="1088" customFormat="1" ht="14.25" x14ac:dyDescent="0.2">
      <c r="A887" s="209"/>
      <c r="B887" s="275"/>
      <c r="C887" s="260"/>
      <c r="D887" s="261"/>
      <c r="E887" s="276"/>
      <c r="F887" s="222"/>
      <c r="G887" s="224"/>
    </row>
    <row r="888" spans="1:7" s="1088" customFormat="1" ht="14.25" x14ac:dyDescent="0.2">
      <c r="A888" s="209"/>
      <c r="B888" s="259"/>
      <c r="C888" s="260"/>
      <c r="D888" s="261"/>
      <c r="E888" s="276"/>
      <c r="F888" s="222"/>
      <c r="G888" s="224"/>
    </row>
    <row r="889" spans="1:7" s="1088" customFormat="1" ht="14.25" x14ac:dyDescent="0.2">
      <c r="A889" s="209"/>
      <c r="B889" s="259"/>
      <c r="C889" s="260"/>
      <c r="D889" s="261"/>
      <c r="E889" s="276"/>
      <c r="F889" s="222"/>
      <c r="G889" s="224"/>
    </row>
    <row r="890" spans="1:7" s="1088" customFormat="1" ht="14.25" x14ac:dyDescent="0.2">
      <c r="A890" s="209"/>
      <c r="B890" s="245"/>
      <c r="C890" s="265"/>
      <c r="D890" s="246"/>
      <c r="E890" s="265"/>
      <c r="F890" s="266"/>
      <c r="G890" s="267"/>
    </row>
    <row r="891" spans="1:7" s="1088" customFormat="1" ht="14.25" x14ac:dyDescent="0.2">
      <c r="A891" s="249"/>
      <c r="B891" s="250"/>
      <c r="C891" s="252"/>
      <c r="D891" s="251"/>
      <c r="E891" s="252"/>
      <c r="F891" s="254"/>
      <c r="G891" s="268"/>
    </row>
    <row r="892" spans="1:7" s="1088" customFormat="1" ht="15" x14ac:dyDescent="0.25">
      <c r="A892" s="209"/>
      <c r="B892" s="212"/>
      <c r="C892" s="211"/>
      <c r="D892" s="212"/>
      <c r="E892" s="269"/>
      <c r="F892" s="269" t="s">
        <v>121</v>
      </c>
      <c r="G892" s="270">
        <f>+SUM(G886:G891)</f>
        <v>2266.6666666666665</v>
      </c>
    </row>
    <row r="893" spans="1:7" s="1088" customFormat="1" ht="14.25" x14ac:dyDescent="0.2">
      <c r="A893" s="209"/>
      <c r="B893" s="212"/>
      <c r="C893" s="211"/>
      <c r="D893" s="212"/>
      <c r="E893" s="213"/>
      <c r="F893" s="214"/>
      <c r="G893" s="271"/>
    </row>
    <row r="894" spans="1:7" s="1088" customFormat="1" ht="15" x14ac:dyDescent="0.25">
      <c r="A894" s="277"/>
      <c r="B894" s="278"/>
      <c r="C894" s="278"/>
      <c r="D894" s="278"/>
      <c r="E894" s="279"/>
      <c r="F894" s="280" t="s">
        <v>137</v>
      </c>
      <c r="G894" s="283">
        <f>+ROUND(G862+G872+G881+G892,0)</f>
        <v>31815</v>
      </c>
    </row>
    <row r="895" spans="1:7" ht="15" x14ac:dyDescent="0.25">
      <c r="A895" s="58"/>
      <c r="B895" s="54"/>
      <c r="C895" s="55"/>
      <c r="D895" s="54"/>
      <c r="E895" s="56"/>
      <c r="F895" s="54"/>
      <c r="G895" s="57"/>
    </row>
    <row r="896" spans="1:7" s="1088" customFormat="1" ht="15" x14ac:dyDescent="0.25">
      <c r="A896" s="209"/>
      <c r="B896" s="212"/>
      <c r="C896" s="211"/>
      <c r="D896" s="212"/>
      <c r="E896" s="257"/>
      <c r="F896" s="257"/>
      <c r="G896" s="271"/>
    </row>
    <row r="897" spans="1:7" s="1088" customFormat="1" ht="15" x14ac:dyDescent="0.25">
      <c r="A897" s="145" t="s">
        <v>160</v>
      </c>
      <c r="B897" s="1262" t="s">
        <v>161</v>
      </c>
      <c r="C897" s="1263"/>
      <c r="D897" s="1263"/>
      <c r="E897" s="1263"/>
      <c r="F897" s="1264"/>
      <c r="G897" s="146" t="s">
        <v>2</v>
      </c>
    </row>
    <row r="898" spans="1:7" s="1088" customFormat="1" ht="15" x14ac:dyDescent="0.25">
      <c r="A898" s="1050">
        <f>'FORMATO PROPUESTA ECONÓMICA'!A39</f>
        <v>6.7</v>
      </c>
      <c r="B898" s="1265" t="str">
        <f>'FORMATO PROPUESTA ECONÓMICA'!B39</f>
        <v>Tee PEAD PN10 d= 90x90 Termofusion</v>
      </c>
      <c r="C898" s="1266"/>
      <c r="D898" s="1266"/>
      <c r="E898" s="1266"/>
      <c r="F898" s="1267"/>
      <c r="G898" s="187" t="str">
        <f>'FORMATO PROPUESTA ECONÓMICA'!C39</f>
        <v>und</v>
      </c>
    </row>
    <row r="899" spans="1:7" s="1088" customFormat="1" ht="14.25" x14ac:dyDescent="0.2">
      <c r="A899" s="209"/>
      <c r="B899" s="210"/>
      <c r="C899" s="211"/>
      <c r="D899" s="212"/>
      <c r="E899" s="213"/>
      <c r="F899" s="214"/>
      <c r="G899" s="215"/>
    </row>
    <row r="900" spans="1:7" s="1088" customFormat="1" ht="15" x14ac:dyDescent="0.25">
      <c r="A900" s="216" t="s">
        <v>115</v>
      </c>
      <c r="B900" s="212"/>
      <c r="C900" s="211"/>
      <c r="D900" s="212"/>
      <c r="E900" s="213"/>
      <c r="F900" s="214"/>
      <c r="G900" s="215"/>
    </row>
    <row r="901" spans="1:7" s="1088" customFormat="1" ht="14.25" x14ac:dyDescent="0.2">
      <c r="A901" s="209"/>
      <c r="B901" s="212"/>
      <c r="C901" s="211"/>
      <c r="D901" s="212"/>
      <c r="E901" s="213"/>
      <c r="F901" s="214"/>
      <c r="G901" s="215"/>
    </row>
    <row r="902" spans="1:7" s="1088" customFormat="1" ht="15" x14ac:dyDescent="0.25">
      <c r="A902" s="1075" t="s">
        <v>116</v>
      </c>
      <c r="B902" s="1076"/>
      <c r="C902" s="217" t="s">
        <v>117</v>
      </c>
      <c r="D902" s="1075" t="s">
        <v>118</v>
      </c>
      <c r="E902" s="218" t="s">
        <v>39</v>
      </c>
      <c r="F902" s="1075" t="s">
        <v>119</v>
      </c>
      <c r="G902" s="219" t="s">
        <v>120</v>
      </c>
    </row>
    <row r="903" spans="1:7" s="1088" customFormat="1" ht="14.25" x14ac:dyDescent="0.2">
      <c r="A903" s="209"/>
      <c r="B903" s="286"/>
      <c r="C903" s="220"/>
      <c r="D903" s="261"/>
      <c r="E903" s="276"/>
      <c r="F903" s="222"/>
      <c r="G903" s="224"/>
    </row>
    <row r="904" spans="1:7" s="1088" customFormat="1" ht="14.25" x14ac:dyDescent="0.2">
      <c r="A904" s="1060"/>
      <c r="B904" s="1068"/>
      <c r="C904" s="225"/>
      <c r="D904" s="221"/>
      <c r="E904" s="226"/>
      <c r="F904" s="227"/>
      <c r="G904" s="228">
        <f>D904*E904</f>
        <v>0</v>
      </c>
    </row>
    <row r="905" spans="1:7" s="1088" customFormat="1" ht="15" customHeight="1" x14ac:dyDescent="0.2">
      <c r="A905" s="1060"/>
      <c r="B905" s="1068"/>
      <c r="C905" s="229"/>
      <c r="D905" s="221"/>
      <c r="E905" s="226"/>
      <c r="F905" s="227"/>
      <c r="G905" s="228">
        <f>D905*E905</f>
        <v>0</v>
      </c>
    </row>
    <row r="906" spans="1:7" s="1088" customFormat="1" ht="14.25" x14ac:dyDescent="0.2">
      <c r="A906" s="1060"/>
      <c r="B906" s="1068"/>
      <c r="C906" s="225"/>
      <c r="D906" s="221"/>
      <c r="E906" s="226"/>
      <c r="F906" s="227"/>
      <c r="G906" s="228">
        <f>D906*E906</f>
        <v>0</v>
      </c>
    </row>
    <row r="907" spans="1:7" s="1088" customFormat="1" ht="14.25" x14ac:dyDescent="0.2">
      <c r="A907" s="1069"/>
      <c r="B907" s="1070"/>
      <c r="C907" s="230"/>
      <c r="D907" s="231"/>
      <c r="E907" s="232"/>
      <c r="F907" s="233"/>
      <c r="G907" s="228">
        <f>D907*E907</f>
        <v>0</v>
      </c>
    </row>
    <row r="908" spans="1:7" s="1088" customFormat="1" ht="15" x14ac:dyDescent="0.25">
      <c r="A908" s="1073"/>
      <c r="B908" s="210"/>
      <c r="C908" s="211"/>
      <c r="D908" s="212"/>
      <c r="E908" s="212"/>
      <c r="F908" s="234" t="s">
        <v>121</v>
      </c>
      <c r="G908" s="231">
        <f>+SUM(G903:G907)</f>
        <v>0</v>
      </c>
    </row>
    <row r="909" spans="1:7" s="1088" customFormat="1" ht="14.25" x14ac:dyDescent="0.2">
      <c r="A909" s="209"/>
      <c r="B909" s="212"/>
      <c r="C909" s="211" t="s">
        <v>123</v>
      </c>
      <c r="D909" s="212"/>
      <c r="E909" s="213"/>
      <c r="F909" s="214"/>
      <c r="G909" s="215"/>
    </row>
    <row r="910" spans="1:7" s="1088" customFormat="1" ht="15" x14ac:dyDescent="0.25">
      <c r="A910" s="216" t="s">
        <v>122</v>
      </c>
      <c r="B910" s="212"/>
      <c r="C910" s="211" t="s">
        <v>123</v>
      </c>
      <c r="D910" s="212"/>
      <c r="E910" s="213"/>
      <c r="F910" s="214"/>
      <c r="G910" s="215"/>
    </row>
    <row r="911" spans="1:7" s="1088" customFormat="1" ht="14.25" x14ac:dyDescent="0.2">
      <c r="A911" s="209"/>
      <c r="B911" s="212"/>
      <c r="C911" s="211"/>
      <c r="D911" s="212"/>
      <c r="E911" s="213"/>
      <c r="F911" s="214"/>
      <c r="G911" s="215"/>
    </row>
    <row r="912" spans="1:7" s="1088" customFormat="1" ht="15" x14ac:dyDescent="0.25">
      <c r="A912" s="1071" t="s">
        <v>116</v>
      </c>
      <c r="B912" s="1072"/>
      <c r="C912" s="235" t="s">
        <v>117</v>
      </c>
      <c r="D912" s="236" t="s">
        <v>124</v>
      </c>
      <c r="E912" s="236" t="s">
        <v>125</v>
      </c>
      <c r="F912" s="237" t="s">
        <v>126</v>
      </c>
      <c r="G912" s="238" t="s">
        <v>120</v>
      </c>
    </row>
    <row r="913" spans="1:7" s="1088" customFormat="1" ht="28.5" x14ac:dyDescent="0.2">
      <c r="A913" s="1066" t="s">
        <v>127</v>
      </c>
      <c r="B913" s="1067"/>
      <c r="C913" s="239" t="s">
        <v>128</v>
      </c>
      <c r="D913" s="240"/>
      <c r="E913" s="241"/>
      <c r="F913" s="222"/>
      <c r="G913" s="242">
        <f>G927*0.05</f>
        <v>692.7998</v>
      </c>
    </row>
    <row r="914" spans="1:7" s="1088" customFormat="1" ht="14.25" x14ac:dyDescent="0.2">
      <c r="A914" s="1073" t="s">
        <v>174</v>
      </c>
      <c r="B914" s="1074"/>
      <c r="C914" s="243" t="s">
        <v>176</v>
      </c>
      <c r="D914" s="221">
        <v>450000</v>
      </c>
      <c r="E914" s="244"/>
      <c r="F914" s="222">
        <v>30</v>
      </c>
      <c r="G914" s="224">
        <f>D914/F914</f>
        <v>15000</v>
      </c>
    </row>
    <row r="915" spans="1:7" s="1088" customFormat="1" ht="14.25" x14ac:dyDescent="0.2">
      <c r="A915" s="1073"/>
      <c r="B915" s="1074"/>
      <c r="C915" s="243"/>
      <c r="D915" s="221"/>
      <c r="E915" s="244"/>
      <c r="F915" s="222"/>
      <c r="G915" s="224"/>
    </row>
    <row r="916" spans="1:7" s="1088" customFormat="1" ht="14.25" x14ac:dyDescent="0.2">
      <c r="A916" s="209"/>
      <c r="B916" s="245"/>
      <c r="C916" s="246"/>
      <c r="D916" s="221"/>
      <c r="E916" s="247"/>
      <c r="F916" s="222"/>
      <c r="G916" s="248"/>
    </row>
    <row r="917" spans="1:7" s="1088" customFormat="1" ht="14.25" x14ac:dyDescent="0.2">
      <c r="A917" s="249"/>
      <c r="B917" s="250"/>
      <c r="C917" s="251"/>
      <c r="D917" s="252"/>
      <c r="E917" s="253"/>
      <c r="F917" s="254"/>
      <c r="G917" s="255"/>
    </row>
    <row r="918" spans="1:7" s="1088" customFormat="1" ht="15" x14ac:dyDescent="0.25">
      <c r="A918" s="209"/>
      <c r="B918" s="214"/>
      <c r="C918" s="256"/>
      <c r="D918" s="214"/>
      <c r="E918" s="212"/>
      <c r="F918" s="257" t="s">
        <v>121</v>
      </c>
      <c r="G918" s="258">
        <f>+SUM(G913:G917)</f>
        <v>15692.799800000001</v>
      </c>
    </row>
    <row r="919" spans="1:7" s="1088" customFormat="1" ht="14.25" x14ac:dyDescent="0.2">
      <c r="A919" s="209"/>
      <c r="B919" s="212"/>
      <c r="C919" s="211"/>
      <c r="D919" s="212"/>
      <c r="E919" s="213"/>
      <c r="F919" s="212"/>
      <c r="G919" s="215"/>
    </row>
    <row r="920" spans="1:7" s="1088" customFormat="1" ht="15" x14ac:dyDescent="0.25">
      <c r="A920" s="216" t="s">
        <v>130</v>
      </c>
      <c r="B920" s="212"/>
      <c r="C920" s="211"/>
      <c r="D920" s="212"/>
      <c r="E920" s="213"/>
      <c r="F920" s="214"/>
      <c r="G920" s="215"/>
    </row>
    <row r="921" spans="1:7" s="1088" customFormat="1" ht="14.25" x14ac:dyDescent="0.2">
      <c r="A921" s="209"/>
      <c r="B921" s="212"/>
      <c r="C921" s="211"/>
      <c r="D921" s="212"/>
      <c r="E921" s="213"/>
      <c r="F921" s="214"/>
      <c r="G921" s="215"/>
    </row>
    <row r="922" spans="1:7" s="1088" customFormat="1" ht="15" x14ac:dyDescent="0.25">
      <c r="A922" s="1071" t="s">
        <v>116</v>
      </c>
      <c r="B922" s="1072"/>
      <c r="C922" s="236" t="s">
        <v>131</v>
      </c>
      <c r="D922" s="235" t="s">
        <v>132</v>
      </c>
      <c r="E922" s="236" t="s">
        <v>133</v>
      </c>
      <c r="F922" s="237" t="s">
        <v>126</v>
      </c>
      <c r="G922" s="238" t="s">
        <v>134</v>
      </c>
    </row>
    <row r="923" spans="1:7" s="1088" customFormat="1" ht="14.25" x14ac:dyDescent="0.2">
      <c r="A923" s="209" t="s">
        <v>10</v>
      </c>
      <c r="B923" s="259"/>
      <c r="C923" s="260">
        <f>M2</f>
        <v>22981.8</v>
      </c>
      <c r="D923" s="261">
        <f>N2</f>
        <v>1.76</v>
      </c>
      <c r="E923" s="276">
        <f>C923*D923</f>
        <v>40447.968000000001</v>
      </c>
      <c r="F923" s="222">
        <f>1/8</f>
        <v>0.125</v>
      </c>
      <c r="G923" s="224">
        <f>F923*E923</f>
        <v>5055.9960000000001</v>
      </c>
    </row>
    <row r="924" spans="1:7" s="1088" customFormat="1" ht="14.25" x14ac:dyDescent="0.2">
      <c r="A924" s="209" t="s">
        <v>140</v>
      </c>
      <c r="B924" s="259"/>
      <c r="C924" s="260">
        <f>M3</f>
        <v>40000</v>
      </c>
      <c r="D924" s="261">
        <f>N2</f>
        <v>1.76</v>
      </c>
      <c r="E924" s="276">
        <f>C924*D924</f>
        <v>70400</v>
      </c>
      <c r="F924" s="222">
        <f>1/8</f>
        <v>0.125</v>
      </c>
      <c r="G924" s="224">
        <f>F924*E924</f>
        <v>8800</v>
      </c>
    </row>
    <row r="925" spans="1:7" s="1088" customFormat="1" ht="14.25" x14ac:dyDescent="0.2">
      <c r="A925" s="209"/>
      <c r="B925" s="245"/>
      <c r="C925" s="265"/>
      <c r="D925" s="246"/>
      <c r="E925" s="265"/>
      <c r="F925" s="266"/>
      <c r="G925" s="267"/>
    </row>
    <row r="926" spans="1:7" s="1088" customFormat="1" ht="14.25" x14ac:dyDescent="0.2">
      <c r="A926" s="249"/>
      <c r="B926" s="250"/>
      <c r="C926" s="252"/>
      <c r="D926" s="251"/>
      <c r="E926" s="252"/>
      <c r="F926" s="254"/>
      <c r="G926" s="268"/>
    </row>
    <row r="927" spans="1:7" s="1088" customFormat="1" ht="15" x14ac:dyDescent="0.25">
      <c r="A927" s="209"/>
      <c r="B927" s="212"/>
      <c r="C927" s="211"/>
      <c r="D927" s="212"/>
      <c r="E927" s="269"/>
      <c r="F927" s="269" t="s">
        <v>121</v>
      </c>
      <c r="G927" s="270">
        <f>+SUM(G923:G926)</f>
        <v>13855.995999999999</v>
      </c>
    </row>
    <row r="928" spans="1:7" s="1088" customFormat="1" ht="15" x14ac:dyDescent="0.25">
      <c r="A928" s="209"/>
      <c r="B928" s="212"/>
      <c r="C928" s="211"/>
      <c r="D928" s="212"/>
      <c r="E928" s="257"/>
      <c r="F928" s="257"/>
      <c r="G928" s="271"/>
    </row>
    <row r="929" spans="1:7" s="1088" customFormat="1" ht="15" x14ac:dyDescent="0.25">
      <c r="A929" s="216" t="s">
        <v>135</v>
      </c>
      <c r="B929" s="212"/>
      <c r="C929" s="211"/>
      <c r="D929" s="212"/>
      <c r="E929" s="213"/>
      <c r="F929" s="214"/>
      <c r="G929" s="215"/>
    </row>
    <row r="930" spans="1:7" s="1088" customFormat="1" ht="14.25" x14ac:dyDescent="0.2">
      <c r="A930" s="209"/>
      <c r="B930" s="212"/>
      <c r="C930" s="211"/>
      <c r="D930" s="212"/>
      <c r="E930" s="213"/>
      <c r="F930" s="214"/>
      <c r="G930" s="215"/>
    </row>
    <row r="931" spans="1:7" s="1088" customFormat="1" ht="15" x14ac:dyDescent="0.25">
      <c r="A931" s="1071" t="s">
        <v>116</v>
      </c>
      <c r="B931" s="1072"/>
      <c r="C931" s="236" t="s">
        <v>117</v>
      </c>
      <c r="D931" s="235" t="s">
        <v>136</v>
      </c>
      <c r="E931" s="236" t="s">
        <v>124</v>
      </c>
      <c r="F931" s="237" t="s">
        <v>126</v>
      </c>
      <c r="G931" s="238" t="s">
        <v>134</v>
      </c>
    </row>
    <row r="932" spans="1:7" s="1088" customFormat="1" ht="14.25" x14ac:dyDescent="0.2">
      <c r="A932" s="209" t="s">
        <v>175</v>
      </c>
      <c r="B932" s="286"/>
      <c r="C932" s="287" t="s">
        <v>79</v>
      </c>
      <c r="D932" s="261"/>
      <c r="E932" s="276">
        <v>68000</v>
      </c>
      <c r="F932" s="222">
        <f>1/30</f>
        <v>3.3333333333333333E-2</v>
      </c>
      <c r="G932" s="224">
        <f>F932*E932</f>
        <v>2266.6666666666665</v>
      </c>
    </row>
    <row r="933" spans="1:7" s="1088" customFormat="1" ht="14.25" x14ac:dyDescent="0.2">
      <c r="A933" s="209"/>
      <c r="B933" s="275"/>
      <c r="C933" s="260"/>
      <c r="D933" s="261"/>
      <c r="E933" s="276"/>
      <c r="F933" s="222"/>
      <c r="G933" s="224"/>
    </row>
    <row r="934" spans="1:7" s="1088" customFormat="1" ht="14.25" x14ac:dyDescent="0.2">
      <c r="A934" s="209"/>
      <c r="B934" s="259"/>
      <c r="C934" s="260"/>
      <c r="D934" s="261"/>
      <c r="E934" s="276"/>
      <c r="F934" s="222"/>
      <c r="G934" s="224"/>
    </row>
    <row r="935" spans="1:7" s="1088" customFormat="1" ht="14.25" x14ac:dyDescent="0.2">
      <c r="A935" s="209"/>
      <c r="B935" s="259"/>
      <c r="C935" s="260"/>
      <c r="D935" s="261"/>
      <c r="E935" s="276"/>
      <c r="F935" s="222"/>
      <c r="G935" s="224"/>
    </row>
    <row r="936" spans="1:7" s="1088" customFormat="1" ht="14.25" x14ac:dyDescent="0.2">
      <c r="A936" s="209"/>
      <c r="B936" s="245"/>
      <c r="C936" s="265"/>
      <c r="D936" s="246"/>
      <c r="E936" s="265"/>
      <c r="F936" s="266"/>
      <c r="G936" s="267"/>
    </row>
    <row r="937" spans="1:7" s="1088" customFormat="1" ht="14.25" x14ac:dyDescent="0.2">
      <c r="A937" s="249"/>
      <c r="B937" s="250"/>
      <c r="C937" s="252"/>
      <c r="D937" s="251"/>
      <c r="E937" s="252"/>
      <c r="F937" s="254"/>
      <c r="G937" s="268"/>
    </row>
    <row r="938" spans="1:7" s="1088" customFormat="1" ht="15" x14ac:dyDescent="0.25">
      <c r="A938" s="209"/>
      <c r="B938" s="212"/>
      <c r="C938" s="211"/>
      <c r="D938" s="212"/>
      <c r="E938" s="269"/>
      <c r="F938" s="269" t="s">
        <v>121</v>
      </c>
      <c r="G938" s="270">
        <f>+SUM(G932:G937)</f>
        <v>2266.6666666666665</v>
      </c>
    </row>
    <row r="939" spans="1:7" s="1088" customFormat="1" ht="14.25" x14ac:dyDescent="0.2">
      <c r="A939" s="209"/>
      <c r="B939" s="212"/>
      <c r="C939" s="211"/>
      <c r="D939" s="212"/>
      <c r="E939" s="213"/>
      <c r="F939" s="214"/>
      <c r="G939" s="271"/>
    </row>
    <row r="940" spans="1:7" s="1088" customFormat="1" ht="15" x14ac:dyDescent="0.25">
      <c r="A940" s="277"/>
      <c r="B940" s="278"/>
      <c r="C940" s="278"/>
      <c r="D940" s="278"/>
      <c r="E940" s="279"/>
      <c r="F940" s="280" t="s">
        <v>137</v>
      </c>
      <c r="G940" s="283">
        <f>+ROUND(G908+G918+G927+G938,0)</f>
        <v>31815</v>
      </c>
    </row>
    <row r="941" spans="1:7" s="1088" customFormat="1" ht="15" x14ac:dyDescent="0.25">
      <c r="A941" s="277"/>
      <c r="B941" s="278"/>
      <c r="C941" s="278"/>
      <c r="D941" s="278"/>
      <c r="E941" s="279"/>
      <c r="F941" s="280"/>
      <c r="G941" s="280"/>
    </row>
    <row r="942" spans="1:7" s="1088" customFormat="1" ht="15" x14ac:dyDescent="0.25">
      <c r="A942" s="145" t="s">
        <v>160</v>
      </c>
      <c r="B942" s="1262" t="s">
        <v>161</v>
      </c>
      <c r="C942" s="1263"/>
      <c r="D942" s="1263"/>
      <c r="E942" s="1263"/>
      <c r="F942" s="1264"/>
      <c r="G942" s="146" t="s">
        <v>2</v>
      </c>
    </row>
    <row r="943" spans="1:7" s="1088" customFormat="1" ht="15" x14ac:dyDescent="0.25">
      <c r="A943" s="285">
        <f>'FORMATO PROPUESTA ECONÓMICA'!A40</f>
        <v>6.8</v>
      </c>
      <c r="B943" s="1265" t="str">
        <f>'FORMATO PROPUESTA ECONÓMICA'!B40</f>
        <v>Tee PEAD PN10 d=110x110 Termofusion</v>
      </c>
      <c r="C943" s="1266"/>
      <c r="D943" s="1266"/>
      <c r="E943" s="1266"/>
      <c r="F943" s="1267"/>
      <c r="G943" s="187" t="str">
        <f>'FORMATO PROPUESTA ECONÓMICA'!C40</f>
        <v>und</v>
      </c>
    </row>
    <row r="944" spans="1:7" s="1088" customFormat="1" ht="14.25" x14ac:dyDescent="0.2">
      <c r="A944" s="209"/>
      <c r="B944" s="210"/>
      <c r="C944" s="211"/>
      <c r="D944" s="212"/>
      <c r="E944" s="213"/>
      <c r="F944" s="214"/>
      <c r="G944" s="215"/>
    </row>
    <row r="945" spans="1:7" s="1088" customFormat="1" ht="15" x14ac:dyDescent="0.25">
      <c r="A945" s="216" t="s">
        <v>115</v>
      </c>
      <c r="B945" s="212"/>
      <c r="C945" s="211"/>
      <c r="D945" s="212"/>
      <c r="E945" s="213"/>
      <c r="F945" s="214"/>
      <c r="G945" s="215"/>
    </row>
    <row r="946" spans="1:7" s="1088" customFormat="1" ht="14.25" x14ac:dyDescent="0.2">
      <c r="A946" s="209"/>
      <c r="B946" s="212"/>
      <c r="C946" s="211"/>
      <c r="D946" s="212"/>
      <c r="E946" s="213"/>
      <c r="F946" s="214"/>
      <c r="G946" s="215"/>
    </row>
    <row r="947" spans="1:7" s="1088" customFormat="1" ht="15" x14ac:dyDescent="0.25">
      <c r="A947" s="1075" t="s">
        <v>116</v>
      </c>
      <c r="B947" s="1076"/>
      <c r="C947" s="217" t="s">
        <v>117</v>
      </c>
      <c r="D947" s="1075" t="s">
        <v>118</v>
      </c>
      <c r="E947" s="218" t="s">
        <v>39</v>
      </c>
      <c r="F947" s="1075" t="s">
        <v>119</v>
      </c>
      <c r="G947" s="219" t="s">
        <v>120</v>
      </c>
    </row>
    <row r="948" spans="1:7" s="1088" customFormat="1" ht="14.25" x14ac:dyDescent="0.2">
      <c r="A948" s="209"/>
      <c r="B948" s="286"/>
      <c r="C948" s="220"/>
      <c r="D948" s="261"/>
      <c r="E948" s="276"/>
      <c r="F948" s="222"/>
      <c r="G948" s="224"/>
    </row>
    <row r="949" spans="1:7" s="1088" customFormat="1" ht="14.25" x14ac:dyDescent="0.2">
      <c r="A949" s="1060"/>
      <c r="B949" s="1068"/>
      <c r="C949" s="225"/>
      <c r="D949" s="221"/>
      <c r="E949" s="226"/>
      <c r="F949" s="227"/>
      <c r="G949" s="228">
        <f>D949*E949</f>
        <v>0</v>
      </c>
    </row>
    <row r="950" spans="1:7" s="1088" customFormat="1" ht="15" customHeight="1" x14ac:dyDescent="0.2">
      <c r="A950" s="1060"/>
      <c r="B950" s="1068"/>
      <c r="C950" s="229"/>
      <c r="D950" s="221"/>
      <c r="E950" s="226"/>
      <c r="F950" s="227"/>
      <c r="G950" s="228">
        <f>D950*E950</f>
        <v>0</v>
      </c>
    </row>
    <row r="951" spans="1:7" s="1088" customFormat="1" ht="14.25" x14ac:dyDescent="0.2">
      <c r="A951" s="1060"/>
      <c r="B951" s="1068"/>
      <c r="C951" s="225"/>
      <c r="D951" s="221"/>
      <c r="E951" s="226"/>
      <c r="F951" s="227"/>
      <c r="G951" s="228">
        <f>D951*E951</f>
        <v>0</v>
      </c>
    </row>
    <row r="952" spans="1:7" s="1088" customFormat="1" ht="14.25" x14ac:dyDescent="0.2">
      <c r="A952" s="1069"/>
      <c r="B952" s="1070"/>
      <c r="C952" s="230"/>
      <c r="D952" s="231"/>
      <c r="E952" s="232"/>
      <c r="F952" s="233"/>
      <c r="G952" s="228">
        <f>D952*E952</f>
        <v>0</v>
      </c>
    </row>
    <row r="953" spans="1:7" s="1088" customFormat="1" ht="15" x14ac:dyDescent="0.25">
      <c r="A953" s="1073"/>
      <c r="B953" s="210"/>
      <c r="C953" s="211"/>
      <c r="D953" s="212"/>
      <c r="E953" s="212"/>
      <c r="F953" s="234" t="s">
        <v>121</v>
      </c>
      <c r="G953" s="231">
        <f>+SUM(G948:G952)</f>
        <v>0</v>
      </c>
    </row>
    <row r="954" spans="1:7" s="1088" customFormat="1" ht="14.25" x14ac:dyDescent="0.2">
      <c r="A954" s="209"/>
      <c r="B954" s="212"/>
      <c r="C954" s="211" t="s">
        <v>123</v>
      </c>
      <c r="D954" s="212"/>
      <c r="E954" s="213"/>
      <c r="F954" s="214"/>
      <c r="G954" s="215"/>
    </row>
    <row r="955" spans="1:7" s="1088" customFormat="1" ht="15" x14ac:dyDescent="0.25">
      <c r="A955" s="216" t="s">
        <v>122</v>
      </c>
      <c r="B955" s="212"/>
      <c r="C955" s="211" t="s">
        <v>123</v>
      </c>
      <c r="D955" s="212"/>
      <c r="E955" s="213"/>
      <c r="F955" s="214"/>
      <c r="G955" s="215"/>
    </row>
    <row r="956" spans="1:7" s="1088" customFormat="1" ht="14.25" x14ac:dyDescent="0.2">
      <c r="A956" s="209"/>
      <c r="B956" s="212"/>
      <c r="C956" s="211"/>
      <c r="D956" s="212"/>
      <c r="E956" s="213"/>
      <c r="F956" s="214"/>
      <c r="G956" s="215"/>
    </row>
    <row r="957" spans="1:7" s="1088" customFormat="1" ht="15" x14ac:dyDescent="0.25">
      <c r="A957" s="1071" t="s">
        <v>116</v>
      </c>
      <c r="B957" s="1072"/>
      <c r="C957" s="235" t="s">
        <v>117</v>
      </c>
      <c r="D957" s="236" t="s">
        <v>124</v>
      </c>
      <c r="E957" s="236" t="s">
        <v>125</v>
      </c>
      <c r="F957" s="237" t="s">
        <v>126</v>
      </c>
      <c r="G957" s="238" t="s">
        <v>120</v>
      </c>
    </row>
    <row r="958" spans="1:7" s="1088" customFormat="1" ht="28.5" x14ac:dyDescent="0.2">
      <c r="A958" s="1066" t="s">
        <v>127</v>
      </c>
      <c r="B958" s="1067"/>
      <c r="C958" s="239" t="s">
        <v>128</v>
      </c>
      <c r="D958" s="240"/>
      <c r="E958" s="241"/>
      <c r="F958" s="222"/>
      <c r="G958" s="242">
        <f>G972*0.05</f>
        <v>791.77120000000002</v>
      </c>
    </row>
    <row r="959" spans="1:7" s="1088" customFormat="1" ht="14.25" x14ac:dyDescent="0.2">
      <c r="A959" s="1073" t="s">
        <v>174</v>
      </c>
      <c r="B959" s="1074"/>
      <c r="C959" s="243" t="s">
        <v>176</v>
      </c>
      <c r="D959" s="221">
        <v>450000</v>
      </c>
      <c r="E959" s="244"/>
      <c r="F959" s="222">
        <v>30</v>
      </c>
      <c r="G959" s="224">
        <f>D959/F959</f>
        <v>15000</v>
      </c>
    </row>
    <row r="960" spans="1:7" s="1088" customFormat="1" ht="14.25" x14ac:dyDescent="0.2">
      <c r="A960" s="1073"/>
      <c r="B960" s="1074"/>
      <c r="C960" s="243"/>
      <c r="D960" s="221"/>
      <c r="E960" s="244"/>
      <c r="F960" s="222"/>
      <c r="G960" s="224"/>
    </row>
    <row r="961" spans="1:7" s="1088" customFormat="1" ht="14.25" x14ac:dyDescent="0.2">
      <c r="A961" s="209"/>
      <c r="B961" s="245"/>
      <c r="C961" s="246"/>
      <c r="D961" s="221"/>
      <c r="E961" s="247"/>
      <c r="F961" s="222"/>
      <c r="G961" s="248"/>
    </row>
    <row r="962" spans="1:7" s="1088" customFormat="1" ht="14.25" x14ac:dyDescent="0.2">
      <c r="A962" s="249"/>
      <c r="B962" s="250"/>
      <c r="C962" s="251"/>
      <c r="D962" s="252"/>
      <c r="E962" s="253"/>
      <c r="F962" s="254"/>
      <c r="G962" s="255"/>
    </row>
    <row r="963" spans="1:7" s="1088" customFormat="1" ht="15" x14ac:dyDescent="0.25">
      <c r="A963" s="209"/>
      <c r="B963" s="214"/>
      <c r="C963" s="256"/>
      <c r="D963" s="214"/>
      <c r="E963" s="212"/>
      <c r="F963" s="257" t="s">
        <v>121</v>
      </c>
      <c r="G963" s="258">
        <f>+SUM(G958:G962)</f>
        <v>15791.771199999999</v>
      </c>
    </row>
    <row r="964" spans="1:7" s="1088" customFormat="1" ht="14.25" x14ac:dyDescent="0.2">
      <c r="A964" s="209"/>
      <c r="B964" s="212"/>
      <c r="C964" s="211"/>
      <c r="D964" s="212"/>
      <c r="E964" s="213"/>
      <c r="F964" s="212"/>
      <c r="G964" s="215"/>
    </row>
    <row r="965" spans="1:7" s="1088" customFormat="1" ht="15" x14ac:dyDescent="0.25">
      <c r="A965" s="216" t="s">
        <v>130</v>
      </c>
      <c r="B965" s="212"/>
      <c r="C965" s="211"/>
      <c r="D965" s="212"/>
      <c r="E965" s="213"/>
      <c r="F965" s="214"/>
      <c r="G965" s="215"/>
    </row>
    <row r="966" spans="1:7" s="1088" customFormat="1" ht="14.25" x14ac:dyDescent="0.2">
      <c r="A966" s="209"/>
      <c r="B966" s="212"/>
      <c r="C966" s="211"/>
      <c r="D966" s="212"/>
      <c r="E966" s="213"/>
      <c r="F966" s="214"/>
      <c r="G966" s="215"/>
    </row>
    <row r="967" spans="1:7" s="1088" customFormat="1" ht="15" x14ac:dyDescent="0.25">
      <c r="A967" s="1071" t="s">
        <v>116</v>
      </c>
      <c r="B967" s="1072"/>
      <c r="C967" s="236" t="s">
        <v>131</v>
      </c>
      <c r="D967" s="235" t="s">
        <v>132</v>
      </c>
      <c r="E967" s="236" t="s">
        <v>133</v>
      </c>
      <c r="F967" s="237" t="s">
        <v>126</v>
      </c>
      <c r="G967" s="238" t="s">
        <v>134</v>
      </c>
    </row>
    <row r="968" spans="1:7" s="1088" customFormat="1" ht="14.25" x14ac:dyDescent="0.2">
      <c r="A968" s="209" t="s">
        <v>10</v>
      </c>
      <c r="B968" s="259"/>
      <c r="C968" s="260">
        <f>M2</f>
        <v>22981.8</v>
      </c>
      <c r="D968" s="261">
        <f>N2</f>
        <v>1.76</v>
      </c>
      <c r="E968" s="276">
        <f>C968*D968</f>
        <v>40447.968000000001</v>
      </c>
      <c r="F968" s="222">
        <f>1/7</f>
        <v>0.14285714285714285</v>
      </c>
      <c r="G968" s="224">
        <f>F968*E968</f>
        <v>5778.2811428571431</v>
      </c>
    </row>
    <row r="969" spans="1:7" s="1088" customFormat="1" ht="14.25" x14ac:dyDescent="0.2">
      <c r="A969" s="209" t="s">
        <v>140</v>
      </c>
      <c r="B969" s="259"/>
      <c r="C969" s="260">
        <f>M3</f>
        <v>40000</v>
      </c>
      <c r="D969" s="261">
        <f>N2</f>
        <v>1.76</v>
      </c>
      <c r="E969" s="276">
        <f>C969*D969</f>
        <v>70400</v>
      </c>
      <c r="F969" s="222">
        <f>1/7</f>
        <v>0.14285714285714285</v>
      </c>
      <c r="G969" s="224">
        <f>F969*E969</f>
        <v>10057.142857142857</v>
      </c>
    </row>
    <row r="970" spans="1:7" s="1088" customFormat="1" ht="14.25" x14ac:dyDescent="0.2">
      <c r="A970" s="209"/>
      <c r="B970" s="245"/>
      <c r="C970" s="265"/>
      <c r="D970" s="246"/>
      <c r="E970" s="265"/>
      <c r="F970" s="266"/>
      <c r="G970" s="267"/>
    </row>
    <row r="971" spans="1:7" s="1088" customFormat="1" ht="14.25" x14ac:dyDescent="0.2">
      <c r="A971" s="249"/>
      <c r="B971" s="250"/>
      <c r="C971" s="252"/>
      <c r="D971" s="251"/>
      <c r="E971" s="252"/>
      <c r="F971" s="254"/>
      <c r="G971" s="268"/>
    </row>
    <row r="972" spans="1:7" s="1088" customFormat="1" ht="15" x14ac:dyDescent="0.25">
      <c r="A972" s="209"/>
      <c r="B972" s="212"/>
      <c r="C972" s="211"/>
      <c r="D972" s="212"/>
      <c r="E972" s="269"/>
      <c r="F972" s="269" t="s">
        <v>121</v>
      </c>
      <c r="G972" s="270">
        <f>+SUM(G968:G971)</f>
        <v>15835.423999999999</v>
      </c>
    </row>
    <row r="973" spans="1:7" s="1088" customFormat="1" ht="15" x14ac:dyDescent="0.25">
      <c r="A973" s="209"/>
      <c r="B973" s="212"/>
      <c r="C973" s="211"/>
      <c r="D973" s="212"/>
      <c r="E973" s="257"/>
      <c r="F973" s="257"/>
      <c r="G973" s="271"/>
    </row>
    <row r="974" spans="1:7" s="1088" customFormat="1" ht="15" x14ac:dyDescent="0.25">
      <c r="A974" s="216" t="s">
        <v>135</v>
      </c>
      <c r="B974" s="212"/>
      <c r="C974" s="211"/>
      <c r="D974" s="212"/>
      <c r="E974" s="213"/>
      <c r="F974" s="214"/>
      <c r="G974" s="215"/>
    </row>
    <row r="975" spans="1:7" s="1088" customFormat="1" ht="14.25" x14ac:dyDescent="0.2">
      <c r="A975" s="209"/>
      <c r="B975" s="212"/>
      <c r="C975" s="211"/>
      <c r="D975" s="212"/>
      <c r="E975" s="213"/>
      <c r="F975" s="214"/>
      <c r="G975" s="215"/>
    </row>
    <row r="976" spans="1:7" s="1088" customFormat="1" ht="15" x14ac:dyDescent="0.25">
      <c r="A976" s="1071" t="s">
        <v>116</v>
      </c>
      <c r="B976" s="1072"/>
      <c r="C976" s="236" t="s">
        <v>117</v>
      </c>
      <c r="D976" s="235" t="s">
        <v>136</v>
      </c>
      <c r="E976" s="236" t="s">
        <v>124</v>
      </c>
      <c r="F976" s="237" t="s">
        <v>126</v>
      </c>
      <c r="G976" s="238" t="s">
        <v>134</v>
      </c>
    </row>
    <row r="977" spans="1:7" s="1088" customFormat="1" ht="14.25" x14ac:dyDescent="0.2">
      <c r="A977" s="209" t="s">
        <v>175</v>
      </c>
      <c r="B977" s="286"/>
      <c r="C977" s="287" t="s">
        <v>79</v>
      </c>
      <c r="D977" s="261"/>
      <c r="E977" s="276">
        <v>68000</v>
      </c>
      <c r="F977" s="222">
        <f>1/30</f>
        <v>3.3333333333333333E-2</v>
      </c>
      <c r="G977" s="224">
        <f>F977*E977</f>
        <v>2266.6666666666665</v>
      </c>
    </row>
    <row r="978" spans="1:7" s="1088" customFormat="1" ht="14.25" x14ac:dyDescent="0.2">
      <c r="A978" s="209"/>
      <c r="B978" s="275"/>
      <c r="C978" s="260"/>
      <c r="D978" s="261"/>
      <c r="E978" s="276"/>
      <c r="F978" s="222"/>
      <c r="G978" s="224"/>
    </row>
    <row r="979" spans="1:7" s="1088" customFormat="1" ht="14.25" x14ac:dyDescent="0.2">
      <c r="A979" s="209"/>
      <c r="B979" s="259"/>
      <c r="C979" s="260"/>
      <c r="D979" s="261"/>
      <c r="E979" s="276"/>
      <c r="F979" s="222"/>
      <c r="G979" s="224"/>
    </row>
    <row r="980" spans="1:7" s="1088" customFormat="1" ht="14.25" x14ac:dyDescent="0.2">
      <c r="A980" s="209"/>
      <c r="B980" s="259"/>
      <c r="C980" s="260"/>
      <c r="D980" s="261"/>
      <c r="E980" s="276"/>
      <c r="F980" s="222"/>
      <c r="G980" s="224"/>
    </row>
    <row r="981" spans="1:7" s="1088" customFormat="1" ht="14.25" x14ac:dyDescent="0.2">
      <c r="A981" s="209"/>
      <c r="B981" s="245"/>
      <c r="C981" s="265"/>
      <c r="D981" s="246"/>
      <c r="E981" s="265"/>
      <c r="F981" s="266"/>
      <c r="G981" s="267"/>
    </row>
    <row r="982" spans="1:7" s="1088" customFormat="1" ht="14.25" x14ac:dyDescent="0.2">
      <c r="A982" s="249"/>
      <c r="B982" s="250"/>
      <c r="C982" s="252"/>
      <c r="D982" s="251"/>
      <c r="E982" s="252"/>
      <c r="F982" s="254"/>
      <c r="G982" s="268"/>
    </row>
    <row r="983" spans="1:7" s="1088" customFormat="1" ht="15" x14ac:dyDescent="0.25">
      <c r="A983" s="209"/>
      <c r="B983" s="212"/>
      <c r="C983" s="211"/>
      <c r="D983" s="212"/>
      <c r="E983" s="269"/>
      <c r="F983" s="269" t="s">
        <v>121</v>
      </c>
      <c r="G983" s="270">
        <f>+SUM(G977:G982)</f>
        <v>2266.6666666666665</v>
      </c>
    </row>
    <row r="984" spans="1:7" s="1088" customFormat="1" ht="14.25" x14ac:dyDescent="0.2">
      <c r="A984" s="209"/>
      <c r="B984" s="212"/>
      <c r="C984" s="211"/>
      <c r="D984" s="212"/>
      <c r="E984" s="213"/>
      <c r="F984" s="214"/>
      <c r="G984" s="271"/>
    </row>
    <row r="985" spans="1:7" s="1088" customFormat="1" ht="15" x14ac:dyDescent="0.25">
      <c r="A985" s="277"/>
      <c r="B985" s="278"/>
      <c r="C985" s="278"/>
      <c r="D985" s="278"/>
      <c r="E985" s="279"/>
      <c r="F985" s="280" t="s">
        <v>137</v>
      </c>
      <c r="G985" s="283">
        <f>+ROUND(G953+G963+G972+G983,0)</f>
        <v>33894</v>
      </c>
    </row>
    <row r="986" spans="1:7" s="1088" customFormat="1" ht="14.25" x14ac:dyDescent="0.2">
      <c r="A986" s="209"/>
      <c r="B986" s="212"/>
      <c r="C986" s="212"/>
      <c r="D986" s="212"/>
      <c r="E986" s="211"/>
      <c r="F986" s="211"/>
      <c r="G986" s="211"/>
    </row>
    <row r="987" spans="1:7" s="1088" customFormat="1" ht="14.25" x14ac:dyDescent="0.2">
      <c r="A987" s="209"/>
      <c r="B987" s="212"/>
      <c r="C987" s="212"/>
      <c r="D987" s="212"/>
      <c r="E987" s="211"/>
      <c r="F987" s="211"/>
      <c r="G987" s="211"/>
    </row>
    <row r="988" spans="1:7" s="1088" customFormat="1" ht="15" x14ac:dyDescent="0.25">
      <c r="A988" s="145" t="s">
        <v>160</v>
      </c>
      <c r="B988" s="1262" t="s">
        <v>161</v>
      </c>
      <c r="C988" s="1263"/>
      <c r="D988" s="1263"/>
      <c r="E988" s="1263"/>
      <c r="F988" s="1264"/>
      <c r="G988" s="146" t="s">
        <v>2</v>
      </c>
    </row>
    <row r="989" spans="1:7" s="1088" customFormat="1" ht="15" x14ac:dyDescent="0.25">
      <c r="A989" s="1050">
        <f>'FORMATO PROPUESTA ECONÓMICA'!A41</f>
        <v>6.9</v>
      </c>
      <c r="B989" s="1265" t="str">
        <f>'FORMATO PROPUESTA ECONÓMICA'!B41</f>
        <v>Tee PEAD PN10 d=160x160mm Termofusion</v>
      </c>
      <c r="C989" s="1266"/>
      <c r="D989" s="1266"/>
      <c r="E989" s="1266"/>
      <c r="F989" s="1267"/>
      <c r="G989" s="187" t="str">
        <f>'FORMATO PROPUESTA ECONÓMICA'!C41</f>
        <v>und</v>
      </c>
    </row>
    <row r="990" spans="1:7" s="1088" customFormat="1" ht="14.25" x14ac:dyDescent="0.2">
      <c r="A990" s="209"/>
      <c r="B990" s="210"/>
      <c r="C990" s="211"/>
      <c r="D990" s="212"/>
      <c r="E990" s="213"/>
      <c r="F990" s="214"/>
      <c r="G990" s="215"/>
    </row>
    <row r="991" spans="1:7" s="1088" customFormat="1" ht="15" x14ac:dyDescent="0.25">
      <c r="A991" s="216" t="s">
        <v>115</v>
      </c>
      <c r="B991" s="212"/>
      <c r="C991" s="211"/>
      <c r="D991" s="212"/>
      <c r="E991" s="213"/>
      <c r="F991" s="214"/>
      <c r="G991" s="215"/>
    </row>
    <row r="992" spans="1:7" s="1088" customFormat="1" ht="14.25" x14ac:dyDescent="0.2">
      <c r="A992" s="209"/>
      <c r="B992" s="212"/>
      <c r="C992" s="211"/>
      <c r="D992" s="212"/>
      <c r="E992" s="213"/>
      <c r="F992" s="214"/>
      <c r="G992" s="215"/>
    </row>
    <row r="993" spans="1:7" s="1088" customFormat="1" ht="15" x14ac:dyDescent="0.25">
      <c r="A993" s="1075" t="s">
        <v>116</v>
      </c>
      <c r="B993" s="1076"/>
      <c r="C993" s="217" t="s">
        <v>117</v>
      </c>
      <c r="D993" s="1075" t="s">
        <v>118</v>
      </c>
      <c r="E993" s="218" t="s">
        <v>39</v>
      </c>
      <c r="F993" s="1075" t="s">
        <v>119</v>
      </c>
      <c r="G993" s="219" t="s">
        <v>120</v>
      </c>
    </row>
    <row r="994" spans="1:7" s="1088" customFormat="1" ht="14.25" x14ac:dyDescent="0.2">
      <c r="A994" s="209"/>
      <c r="B994" s="286"/>
      <c r="C994" s="220"/>
      <c r="D994" s="261"/>
      <c r="E994" s="276"/>
      <c r="F994" s="222"/>
      <c r="G994" s="224"/>
    </row>
    <row r="995" spans="1:7" s="1088" customFormat="1" ht="15" customHeight="1" x14ac:dyDescent="0.2">
      <c r="A995" s="1060"/>
      <c r="B995" s="1068"/>
      <c r="C995" s="225"/>
      <c r="D995" s="221"/>
      <c r="E995" s="226"/>
      <c r="F995" s="227"/>
      <c r="G995" s="228">
        <f>D995*E995</f>
        <v>0</v>
      </c>
    </row>
    <row r="996" spans="1:7" s="1088" customFormat="1" ht="14.25" x14ac:dyDescent="0.2">
      <c r="A996" s="1060"/>
      <c r="B996" s="1068"/>
      <c r="C996" s="229"/>
      <c r="D996" s="221"/>
      <c r="E996" s="226"/>
      <c r="F996" s="227"/>
      <c r="G996" s="228">
        <f>D996*E996</f>
        <v>0</v>
      </c>
    </row>
    <row r="997" spans="1:7" s="1088" customFormat="1" ht="14.25" x14ac:dyDescent="0.2">
      <c r="A997" s="1060"/>
      <c r="B997" s="1068"/>
      <c r="C997" s="225"/>
      <c r="D997" s="221"/>
      <c r="E997" s="226"/>
      <c r="F997" s="227"/>
      <c r="G997" s="228">
        <f>D997*E997</f>
        <v>0</v>
      </c>
    </row>
    <row r="998" spans="1:7" s="1088" customFormat="1" ht="14.25" x14ac:dyDescent="0.2">
      <c r="A998" s="1069"/>
      <c r="B998" s="1070"/>
      <c r="C998" s="230"/>
      <c r="D998" s="231"/>
      <c r="E998" s="232"/>
      <c r="F998" s="233"/>
      <c r="G998" s="228">
        <f>D998*E998</f>
        <v>0</v>
      </c>
    </row>
    <row r="999" spans="1:7" s="1088" customFormat="1" ht="15" x14ac:dyDescent="0.25">
      <c r="A999" s="1073"/>
      <c r="B999" s="210"/>
      <c r="C999" s="211"/>
      <c r="D999" s="212"/>
      <c r="E999" s="212"/>
      <c r="F999" s="234" t="s">
        <v>121</v>
      </c>
      <c r="G999" s="231">
        <f>+SUM(G994:G998)</f>
        <v>0</v>
      </c>
    </row>
    <row r="1000" spans="1:7" s="1088" customFormat="1" ht="14.25" x14ac:dyDescent="0.2">
      <c r="A1000" s="209"/>
      <c r="B1000" s="212"/>
      <c r="C1000" s="211" t="s">
        <v>123</v>
      </c>
      <c r="D1000" s="212"/>
      <c r="E1000" s="213"/>
      <c r="F1000" s="214"/>
      <c r="G1000" s="215"/>
    </row>
    <row r="1001" spans="1:7" s="1088" customFormat="1" ht="15" x14ac:dyDescent="0.25">
      <c r="A1001" s="216" t="s">
        <v>122</v>
      </c>
      <c r="B1001" s="212"/>
      <c r="C1001" s="211" t="s">
        <v>123</v>
      </c>
      <c r="D1001" s="212"/>
      <c r="E1001" s="213"/>
      <c r="F1001" s="214"/>
      <c r="G1001" s="215"/>
    </row>
    <row r="1002" spans="1:7" s="1088" customFormat="1" ht="14.25" x14ac:dyDescent="0.2">
      <c r="A1002" s="209"/>
      <c r="B1002" s="212"/>
      <c r="C1002" s="211"/>
      <c r="D1002" s="212"/>
      <c r="E1002" s="213"/>
      <c r="F1002" s="214"/>
      <c r="G1002" s="215"/>
    </row>
    <row r="1003" spans="1:7" s="1088" customFormat="1" ht="15" x14ac:dyDescent="0.25">
      <c r="A1003" s="1071" t="s">
        <v>116</v>
      </c>
      <c r="B1003" s="1072"/>
      <c r="C1003" s="235" t="s">
        <v>117</v>
      </c>
      <c r="D1003" s="236" t="s">
        <v>124</v>
      </c>
      <c r="E1003" s="236" t="s">
        <v>125</v>
      </c>
      <c r="F1003" s="237" t="s">
        <v>126</v>
      </c>
      <c r="G1003" s="238" t="s">
        <v>120</v>
      </c>
    </row>
    <row r="1004" spans="1:7" s="1088" customFormat="1" ht="28.5" x14ac:dyDescent="0.2">
      <c r="A1004" s="1066" t="s">
        <v>127</v>
      </c>
      <c r="B1004" s="1067"/>
      <c r="C1004" s="239" t="s">
        <v>128</v>
      </c>
      <c r="D1004" s="240"/>
      <c r="E1004" s="241"/>
      <c r="F1004" s="222"/>
      <c r="G1004" s="242">
        <f>G1018*0.05</f>
        <v>1108.4796800000001</v>
      </c>
    </row>
    <row r="1005" spans="1:7" s="1088" customFormat="1" ht="14.25" x14ac:dyDescent="0.2">
      <c r="A1005" s="1073" t="s">
        <v>174</v>
      </c>
      <c r="B1005" s="1074"/>
      <c r="C1005" s="243" t="s">
        <v>176</v>
      </c>
      <c r="D1005" s="221">
        <v>450000</v>
      </c>
      <c r="E1005" s="244"/>
      <c r="F1005" s="222">
        <v>30</v>
      </c>
      <c r="G1005" s="224">
        <f>D1005/F1005</f>
        <v>15000</v>
      </c>
    </row>
    <row r="1006" spans="1:7" s="1088" customFormat="1" ht="14.25" x14ac:dyDescent="0.2">
      <c r="A1006" s="1073"/>
      <c r="B1006" s="1074"/>
      <c r="C1006" s="243"/>
      <c r="D1006" s="221"/>
      <c r="E1006" s="244"/>
      <c r="F1006" s="222"/>
      <c r="G1006" s="224"/>
    </row>
    <row r="1007" spans="1:7" s="1088" customFormat="1" ht="14.25" x14ac:dyDescent="0.2">
      <c r="A1007" s="209"/>
      <c r="B1007" s="245"/>
      <c r="C1007" s="246"/>
      <c r="D1007" s="221"/>
      <c r="E1007" s="247"/>
      <c r="F1007" s="222"/>
      <c r="G1007" s="248"/>
    </row>
    <row r="1008" spans="1:7" s="1088" customFormat="1" ht="14.25" x14ac:dyDescent="0.2">
      <c r="A1008" s="249"/>
      <c r="B1008" s="250"/>
      <c r="C1008" s="251"/>
      <c r="D1008" s="252"/>
      <c r="E1008" s="253"/>
      <c r="F1008" s="254"/>
      <c r="G1008" s="255"/>
    </row>
    <row r="1009" spans="1:7" s="1088" customFormat="1" ht="15" x14ac:dyDescent="0.25">
      <c r="A1009" s="209"/>
      <c r="B1009" s="214"/>
      <c r="C1009" s="256"/>
      <c r="D1009" s="214"/>
      <c r="E1009" s="212"/>
      <c r="F1009" s="257" t="s">
        <v>121</v>
      </c>
      <c r="G1009" s="258">
        <f>+SUM(G1004:G1008)</f>
        <v>16108.47968</v>
      </c>
    </row>
    <row r="1010" spans="1:7" s="1088" customFormat="1" ht="14.25" x14ac:dyDescent="0.2">
      <c r="A1010" s="209"/>
      <c r="B1010" s="212"/>
      <c r="C1010" s="211"/>
      <c r="D1010" s="212"/>
      <c r="E1010" s="213"/>
      <c r="F1010" s="212"/>
      <c r="G1010" s="215"/>
    </row>
    <row r="1011" spans="1:7" s="1088" customFormat="1" ht="15" x14ac:dyDescent="0.25">
      <c r="A1011" s="216" t="s">
        <v>130</v>
      </c>
      <c r="B1011" s="212"/>
      <c r="C1011" s="211"/>
      <c r="D1011" s="212"/>
      <c r="E1011" s="213"/>
      <c r="F1011" s="214"/>
      <c r="G1011" s="215"/>
    </row>
    <row r="1012" spans="1:7" s="1088" customFormat="1" ht="14.25" x14ac:dyDescent="0.2">
      <c r="A1012" s="209"/>
      <c r="B1012" s="212"/>
      <c r="C1012" s="211"/>
      <c r="D1012" s="212"/>
      <c r="E1012" s="213"/>
      <c r="F1012" s="214"/>
      <c r="G1012" s="215"/>
    </row>
    <row r="1013" spans="1:7" s="1088" customFormat="1" ht="15" x14ac:dyDescent="0.25">
      <c r="A1013" s="1071" t="s">
        <v>116</v>
      </c>
      <c r="B1013" s="1072"/>
      <c r="C1013" s="236" t="s">
        <v>131</v>
      </c>
      <c r="D1013" s="235" t="s">
        <v>132</v>
      </c>
      <c r="E1013" s="236" t="s">
        <v>133</v>
      </c>
      <c r="F1013" s="237" t="s">
        <v>126</v>
      </c>
      <c r="G1013" s="238" t="s">
        <v>134</v>
      </c>
    </row>
    <row r="1014" spans="1:7" s="1088" customFormat="1" ht="14.25" x14ac:dyDescent="0.2">
      <c r="A1014" s="209" t="s">
        <v>10</v>
      </c>
      <c r="B1014" s="259"/>
      <c r="C1014" s="260">
        <f>M2</f>
        <v>22981.8</v>
      </c>
      <c r="D1014" s="261">
        <f>N2</f>
        <v>1.76</v>
      </c>
      <c r="E1014" s="276">
        <f>C1014*D1014</f>
        <v>40447.968000000001</v>
      </c>
      <c r="F1014" s="222">
        <f>1/5</f>
        <v>0.2</v>
      </c>
      <c r="G1014" s="224">
        <f>F1014*E1014</f>
        <v>8089.5936000000002</v>
      </c>
    </row>
    <row r="1015" spans="1:7" s="1088" customFormat="1" ht="14.25" x14ac:dyDescent="0.2">
      <c r="A1015" s="209" t="s">
        <v>140</v>
      </c>
      <c r="B1015" s="259"/>
      <c r="C1015" s="260">
        <f>M3</f>
        <v>40000</v>
      </c>
      <c r="D1015" s="261">
        <f>N2</f>
        <v>1.76</v>
      </c>
      <c r="E1015" s="276">
        <f>C1015*D1015</f>
        <v>70400</v>
      </c>
      <c r="F1015" s="222">
        <f>1/5</f>
        <v>0.2</v>
      </c>
      <c r="G1015" s="224">
        <f>F1015*E1015</f>
        <v>14080</v>
      </c>
    </row>
    <row r="1016" spans="1:7" s="1088" customFormat="1" ht="14.25" x14ac:dyDescent="0.2">
      <c r="A1016" s="209"/>
      <c r="B1016" s="245"/>
      <c r="C1016" s="265"/>
      <c r="D1016" s="246"/>
      <c r="E1016" s="265"/>
      <c r="F1016" s="266"/>
      <c r="G1016" s="267"/>
    </row>
    <row r="1017" spans="1:7" s="1088" customFormat="1" ht="14.25" x14ac:dyDescent="0.2">
      <c r="A1017" s="249"/>
      <c r="B1017" s="250"/>
      <c r="C1017" s="252"/>
      <c r="D1017" s="251"/>
      <c r="E1017" s="252"/>
      <c r="F1017" s="254"/>
      <c r="G1017" s="268"/>
    </row>
    <row r="1018" spans="1:7" s="1088" customFormat="1" ht="15" x14ac:dyDescent="0.25">
      <c r="A1018" s="209"/>
      <c r="B1018" s="212"/>
      <c r="C1018" s="211"/>
      <c r="D1018" s="212"/>
      <c r="E1018" s="269"/>
      <c r="F1018" s="269" t="s">
        <v>121</v>
      </c>
      <c r="G1018" s="270">
        <f>+SUM(G1014:G1017)</f>
        <v>22169.5936</v>
      </c>
    </row>
    <row r="1019" spans="1:7" s="1088" customFormat="1" ht="15" x14ac:dyDescent="0.25">
      <c r="A1019" s="209"/>
      <c r="B1019" s="212"/>
      <c r="C1019" s="211"/>
      <c r="D1019" s="212"/>
      <c r="E1019" s="257"/>
      <c r="F1019" s="257"/>
      <c r="G1019" s="271"/>
    </row>
    <row r="1020" spans="1:7" s="1088" customFormat="1" ht="15" x14ac:dyDescent="0.25">
      <c r="A1020" s="216" t="s">
        <v>135</v>
      </c>
      <c r="B1020" s="212"/>
      <c r="C1020" s="211"/>
      <c r="D1020" s="212"/>
      <c r="E1020" s="213"/>
      <c r="F1020" s="214"/>
      <c r="G1020" s="215"/>
    </row>
    <row r="1021" spans="1:7" s="1088" customFormat="1" ht="14.25" x14ac:dyDescent="0.2">
      <c r="A1021" s="209"/>
      <c r="B1021" s="212"/>
      <c r="C1021" s="211"/>
      <c r="D1021" s="212"/>
      <c r="E1021" s="213"/>
      <c r="F1021" s="214"/>
      <c r="G1021" s="215"/>
    </row>
    <row r="1022" spans="1:7" s="1088" customFormat="1" ht="15" x14ac:dyDescent="0.25">
      <c r="A1022" s="1071" t="s">
        <v>116</v>
      </c>
      <c r="B1022" s="1072"/>
      <c r="C1022" s="236" t="s">
        <v>117</v>
      </c>
      <c r="D1022" s="235" t="s">
        <v>136</v>
      </c>
      <c r="E1022" s="236" t="s">
        <v>124</v>
      </c>
      <c r="F1022" s="237" t="s">
        <v>126</v>
      </c>
      <c r="G1022" s="238" t="s">
        <v>134</v>
      </c>
    </row>
    <row r="1023" spans="1:7" s="1088" customFormat="1" ht="14.25" x14ac:dyDescent="0.2">
      <c r="A1023" s="209" t="s">
        <v>175</v>
      </c>
      <c r="B1023" s="286"/>
      <c r="C1023" s="287" t="s">
        <v>79</v>
      </c>
      <c r="D1023" s="261"/>
      <c r="E1023" s="276">
        <v>68000</v>
      </c>
      <c r="F1023" s="222">
        <f>1/30</f>
        <v>3.3333333333333333E-2</v>
      </c>
      <c r="G1023" s="224">
        <f>F1023*E1023</f>
        <v>2266.6666666666665</v>
      </c>
    </row>
    <row r="1024" spans="1:7" s="1088" customFormat="1" ht="14.25" x14ac:dyDescent="0.2">
      <c r="A1024" s="209"/>
      <c r="B1024" s="275"/>
      <c r="C1024" s="260"/>
      <c r="D1024" s="261"/>
      <c r="E1024" s="276"/>
      <c r="F1024" s="222"/>
      <c r="G1024" s="224"/>
    </row>
    <row r="1025" spans="1:7" s="1088" customFormat="1" ht="14.25" x14ac:dyDescent="0.2">
      <c r="A1025" s="209"/>
      <c r="B1025" s="259"/>
      <c r="C1025" s="260"/>
      <c r="D1025" s="261"/>
      <c r="E1025" s="276"/>
      <c r="F1025" s="222"/>
      <c r="G1025" s="224"/>
    </row>
    <row r="1026" spans="1:7" s="1088" customFormat="1" ht="14.25" x14ac:dyDescent="0.2">
      <c r="A1026" s="209"/>
      <c r="B1026" s="259"/>
      <c r="C1026" s="260"/>
      <c r="D1026" s="261"/>
      <c r="E1026" s="276"/>
      <c r="F1026" s="222"/>
      <c r="G1026" s="224"/>
    </row>
    <row r="1027" spans="1:7" s="1088" customFormat="1" ht="14.25" x14ac:dyDescent="0.2">
      <c r="A1027" s="209"/>
      <c r="B1027" s="245"/>
      <c r="C1027" s="265"/>
      <c r="D1027" s="246"/>
      <c r="E1027" s="265"/>
      <c r="F1027" s="266"/>
      <c r="G1027" s="267"/>
    </row>
    <row r="1028" spans="1:7" s="1088" customFormat="1" ht="14.25" x14ac:dyDescent="0.2">
      <c r="A1028" s="249"/>
      <c r="B1028" s="250"/>
      <c r="C1028" s="252"/>
      <c r="D1028" s="251"/>
      <c r="E1028" s="252"/>
      <c r="F1028" s="254"/>
      <c r="G1028" s="268"/>
    </row>
    <row r="1029" spans="1:7" s="1088" customFormat="1" ht="15" x14ac:dyDescent="0.25">
      <c r="A1029" s="209"/>
      <c r="B1029" s="212"/>
      <c r="C1029" s="211"/>
      <c r="D1029" s="212"/>
      <c r="E1029" s="269"/>
      <c r="F1029" s="269" t="s">
        <v>121</v>
      </c>
      <c r="G1029" s="270">
        <f>+SUM(G1023:G1028)</f>
        <v>2266.6666666666665</v>
      </c>
    </row>
    <row r="1030" spans="1:7" s="1088" customFormat="1" ht="14.25" x14ac:dyDescent="0.2">
      <c r="A1030" s="209"/>
      <c r="B1030" s="212"/>
      <c r="C1030" s="211"/>
      <c r="D1030" s="212"/>
      <c r="E1030" s="213"/>
      <c r="F1030" s="214"/>
      <c r="G1030" s="214"/>
    </row>
    <row r="1031" spans="1:7" s="1088" customFormat="1" ht="15" x14ac:dyDescent="0.25">
      <c r="A1031" s="277"/>
      <c r="B1031" s="278"/>
      <c r="C1031" s="278"/>
      <c r="D1031" s="278"/>
      <c r="E1031" s="279"/>
      <c r="F1031" s="280" t="s">
        <v>137</v>
      </c>
      <c r="G1031" s="283">
        <f>+ROUND(G999+G1009+G1018+G1029,0)</f>
        <v>40545</v>
      </c>
    </row>
    <row r="1032" spans="1:7" s="1088" customFormat="1" ht="14.25" x14ac:dyDescent="0.2">
      <c r="A1032" s="209"/>
      <c r="B1032" s="212"/>
      <c r="C1032" s="212"/>
      <c r="D1032" s="212"/>
      <c r="E1032" s="211"/>
      <c r="F1032" s="211"/>
      <c r="G1032" s="211"/>
    </row>
    <row r="1033" spans="1:7" s="1088" customFormat="1" ht="15" x14ac:dyDescent="0.25">
      <c r="A1033" s="145" t="s">
        <v>160</v>
      </c>
      <c r="B1033" s="1262" t="s">
        <v>161</v>
      </c>
      <c r="C1033" s="1263"/>
      <c r="D1033" s="1263"/>
      <c r="E1033" s="1263"/>
      <c r="F1033" s="1264"/>
      <c r="G1033" s="146" t="s">
        <v>2</v>
      </c>
    </row>
    <row r="1034" spans="1:7" s="1088" customFormat="1" ht="15" x14ac:dyDescent="0.25">
      <c r="A1034" s="285">
        <f>'FORMATO PROPUESTA ECONÓMICA'!A42</f>
        <v>6.1</v>
      </c>
      <c r="B1034" s="1265" t="str">
        <f>'FORMATO PROPUESTA ECONÓMICA'!B42</f>
        <v>Tee PEAD PN10 d=200x200mmTermofusion</v>
      </c>
      <c r="C1034" s="1266"/>
      <c r="D1034" s="1266"/>
      <c r="E1034" s="1266"/>
      <c r="F1034" s="1267"/>
      <c r="G1034" s="187" t="str">
        <f>'FORMATO PROPUESTA ECONÓMICA'!C42</f>
        <v>und</v>
      </c>
    </row>
    <row r="1035" spans="1:7" s="1088" customFormat="1" ht="14.25" x14ac:dyDescent="0.2">
      <c r="A1035" s="209"/>
      <c r="B1035" s="210"/>
      <c r="C1035" s="211"/>
      <c r="D1035" s="212"/>
      <c r="E1035" s="213"/>
      <c r="F1035" s="214"/>
      <c r="G1035" s="215"/>
    </row>
    <row r="1036" spans="1:7" s="1088" customFormat="1" ht="15" x14ac:dyDescent="0.25">
      <c r="A1036" s="216" t="s">
        <v>115</v>
      </c>
      <c r="B1036" s="212"/>
      <c r="C1036" s="211"/>
      <c r="D1036" s="212"/>
      <c r="E1036" s="213"/>
      <c r="F1036" s="214"/>
      <c r="G1036" s="215"/>
    </row>
    <row r="1037" spans="1:7" s="1088" customFormat="1" ht="14.25" x14ac:dyDescent="0.2">
      <c r="A1037" s="209"/>
      <c r="B1037" s="212"/>
      <c r="C1037" s="211"/>
      <c r="D1037" s="212"/>
      <c r="E1037" s="213"/>
      <c r="F1037" s="214"/>
      <c r="G1037" s="215"/>
    </row>
    <row r="1038" spans="1:7" s="1088" customFormat="1" ht="15" x14ac:dyDescent="0.25">
      <c r="A1038" s="1075" t="s">
        <v>116</v>
      </c>
      <c r="B1038" s="1076"/>
      <c r="C1038" s="217" t="s">
        <v>117</v>
      </c>
      <c r="D1038" s="1075" t="s">
        <v>118</v>
      </c>
      <c r="E1038" s="218" t="s">
        <v>39</v>
      </c>
      <c r="F1038" s="1075" t="s">
        <v>119</v>
      </c>
      <c r="G1038" s="219" t="s">
        <v>120</v>
      </c>
    </row>
    <row r="1039" spans="1:7" s="1088" customFormat="1" ht="14.25" x14ac:dyDescent="0.2">
      <c r="A1039" s="209"/>
      <c r="B1039" s="286"/>
      <c r="C1039" s="220"/>
      <c r="D1039" s="261"/>
      <c r="E1039" s="276"/>
      <c r="F1039" s="222"/>
      <c r="G1039" s="224"/>
    </row>
    <row r="1040" spans="1:7" s="1088" customFormat="1" ht="15" customHeight="1" x14ac:dyDescent="0.2">
      <c r="A1040" s="1060"/>
      <c r="B1040" s="1068"/>
      <c r="C1040" s="225"/>
      <c r="D1040" s="221"/>
      <c r="E1040" s="226"/>
      <c r="F1040" s="227"/>
      <c r="G1040" s="228">
        <f>D1040*E1040</f>
        <v>0</v>
      </c>
    </row>
    <row r="1041" spans="1:7" s="1088" customFormat="1" ht="14.25" x14ac:dyDescent="0.2">
      <c r="A1041" s="1060"/>
      <c r="B1041" s="1068"/>
      <c r="C1041" s="229"/>
      <c r="D1041" s="221"/>
      <c r="E1041" s="226"/>
      <c r="F1041" s="227"/>
      <c r="G1041" s="228">
        <f>D1041*E1041</f>
        <v>0</v>
      </c>
    </row>
    <row r="1042" spans="1:7" s="1088" customFormat="1" ht="14.25" x14ac:dyDescent="0.2">
      <c r="A1042" s="1060"/>
      <c r="B1042" s="1068"/>
      <c r="C1042" s="225"/>
      <c r="D1042" s="221"/>
      <c r="E1042" s="226"/>
      <c r="F1042" s="227"/>
      <c r="G1042" s="228">
        <f>D1042*E1042</f>
        <v>0</v>
      </c>
    </row>
    <row r="1043" spans="1:7" s="1088" customFormat="1" ht="14.25" x14ac:dyDescent="0.2">
      <c r="A1043" s="1069"/>
      <c r="B1043" s="1070"/>
      <c r="C1043" s="230"/>
      <c r="D1043" s="231"/>
      <c r="E1043" s="232"/>
      <c r="F1043" s="233"/>
      <c r="G1043" s="228">
        <f>D1043*E1043</f>
        <v>0</v>
      </c>
    </row>
    <row r="1044" spans="1:7" s="1088" customFormat="1" ht="15" x14ac:dyDescent="0.25">
      <c r="A1044" s="1073"/>
      <c r="B1044" s="210"/>
      <c r="C1044" s="211"/>
      <c r="D1044" s="212"/>
      <c r="E1044" s="212"/>
      <c r="F1044" s="234" t="s">
        <v>121</v>
      </c>
      <c r="G1044" s="231">
        <f>+SUM(G1039:G1043)</f>
        <v>0</v>
      </c>
    </row>
    <row r="1045" spans="1:7" s="1088" customFormat="1" ht="14.25" x14ac:dyDescent="0.2">
      <c r="A1045" s="209"/>
      <c r="B1045" s="212"/>
      <c r="C1045" s="211" t="s">
        <v>123</v>
      </c>
      <c r="D1045" s="212"/>
      <c r="E1045" s="213"/>
      <c r="F1045" s="214"/>
      <c r="G1045" s="215"/>
    </row>
    <row r="1046" spans="1:7" s="1088" customFormat="1" ht="15" x14ac:dyDescent="0.25">
      <c r="A1046" s="216" t="s">
        <v>122</v>
      </c>
      <c r="B1046" s="212"/>
      <c r="C1046" s="211" t="s">
        <v>123</v>
      </c>
      <c r="D1046" s="212"/>
      <c r="E1046" s="213"/>
      <c r="F1046" s="214"/>
      <c r="G1046" s="215"/>
    </row>
    <row r="1047" spans="1:7" s="1088" customFormat="1" ht="14.25" x14ac:dyDescent="0.2">
      <c r="A1047" s="209"/>
      <c r="B1047" s="212"/>
      <c r="C1047" s="211"/>
      <c r="D1047" s="212"/>
      <c r="E1047" s="213"/>
      <c r="F1047" s="214"/>
      <c r="G1047" s="215"/>
    </row>
    <row r="1048" spans="1:7" s="1088" customFormat="1" ht="15" x14ac:dyDescent="0.25">
      <c r="A1048" s="1071" t="s">
        <v>116</v>
      </c>
      <c r="B1048" s="1072"/>
      <c r="C1048" s="235" t="s">
        <v>117</v>
      </c>
      <c r="D1048" s="236" t="s">
        <v>124</v>
      </c>
      <c r="E1048" s="236" t="s">
        <v>125</v>
      </c>
      <c r="F1048" s="237" t="s">
        <v>126</v>
      </c>
      <c r="G1048" s="238" t="s">
        <v>120</v>
      </c>
    </row>
    <row r="1049" spans="1:7" s="1088" customFormat="1" ht="28.5" x14ac:dyDescent="0.2">
      <c r="A1049" s="1066" t="s">
        <v>127</v>
      </c>
      <c r="B1049" s="1067"/>
      <c r="C1049" s="239" t="s">
        <v>128</v>
      </c>
      <c r="D1049" s="240"/>
      <c r="E1049" s="241"/>
      <c r="F1049" s="222"/>
      <c r="G1049" s="242">
        <f>G1063*0.05</f>
        <v>1108.4796800000001</v>
      </c>
    </row>
    <row r="1050" spans="1:7" s="1088" customFormat="1" ht="14.25" x14ac:dyDescent="0.2">
      <c r="A1050" s="1073" t="s">
        <v>174</v>
      </c>
      <c r="B1050" s="1074"/>
      <c r="C1050" s="243" t="s">
        <v>176</v>
      </c>
      <c r="D1050" s="221">
        <v>450000</v>
      </c>
      <c r="E1050" s="244"/>
      <c r="F1050" s="222">
        <v>30</v>
      </c>
      <c r="G1050" s="224">
        <f>D1050/F1050</f>
        <v>15000</v>
      </c>
    </row>
    <row r="1051" spans="1:7" s="1088" customFormat="1" ht="14.25" x14ac:dyDescent="0.2">
      <c r="A1051" s="1073"/>
      <c r="B1051" s="1074"/>
      <c r="C1051" s="243"/>
      <c r="D1051" s="221"/>
      <c r="E1051" s="244"/>
      <c r="F1051" s="222"/>
      <c r="G1051" s="224"/>
    </row>
    <row r="1052" spans="1:7" s="1088" customFormat="1" ht="14.25" x14ac:dyDescent="0.2">
      <c r="A1052" s="209"/>
      <c r="B1052" s="245"/>
      <c r="C1052" s="246"/>
      <c r="D1052" s="221"/>
      <c r="E1052" s="247"/>
      <c r="F1052" s="222"/>
      <c r="G1052" s="248"/>
    </row>
    <row r="1053" spans="1:7" s="1088" customFormat="1" ht="14.25" x14ac:dyDescent="0.2">
      <c r="A1053" s="249"/>
      <c r="B1053" s="250"/>
      <c r="C1053" s="251"/>
      <c r="D1053" s="252"/>
      <c r="E1053" s="253"/>
      <c r="F1053" s="254"/>
      <c r="G1053" s="255"/>
    </row>
    <row r="1054" spans="1:7" s="1088" customFormat="1" ht="15" x14ac:dyDescent="0.25">
      <c r="A1054" s="209"/>
      <c r="B1054" s="214"/>
      <c r="C1054" s="256"/>
      <c r="D1054" s="214"/>
      <c r="E1054" s="212"/>
      <c r="F1054" s="257" t="s">
        <v>121</v>
      </c>
      <c r="G1054" s="258">
        <f>+SUM(G1049:G1053)</f>
        <v>16108.47968</v>
      </c>
    </row>
    <row r="1055" spans="1:7" s="1088" customFormat="1" ht="14.25" x14ac:dyDescent="0.2">
      <c r="A1055" s="209"/>
      <c r="B1055" s="212"/>
      <c r="C1055" s="211"/>
      <c r="D1055" s="212"/>
      <c r="E1055" s="213"/>
      <c r="F1055" s="212"/>
      <c r="G1055" s="215"/>
    </row>
    <row r="1056" spans="1:7" s="1088" customFormat="1" ht="15" x14ac:dyDescent="0.25">
      <c r="A1056" s="216" t="s">
        <v>130</v>
      </c>
      <c r="B1056" s="212"/>
      <c r="C1056" s="211"/>
      <c r="D1056" s="212"/>
      <c r="E1056" s="213"/>
      <c r="F1056" s="214"/>
      <c r="G1056" s="215"/>
    </row>
    <row r="1057" spans="1:7" s="1088" customFormat="1" ht="14.25" x14ac:dyDescent="0.2">
      <c r="A1057" s="209"/>
      <c r="B1057" s="212"/>
      <c r="C1057" s="211"/>
      <c r="D1057" s="212"/>
      <c r="E1057" s="213"/>
      <c r="F1057" s="214"/>
      <c r="G1057" s="215"/>
    </row>
    <row r="1058" spans="1:7" s="1088" customFormat="1" ht="15" x14ac:dyDescent="0.25">
      <c r="A1058" s="1071" t="s">
        <v>116</v>
      </c>
      <c r="B1058" s="1072"/>
      <c r="C1058" s="236" t="s">
        <v>131</v>
      </c>
      <c r="D1058" s="235" t="s">
        <v>132</v>
      </c>
      <c r="E1058" s="236" t="s">
        <v>133</v>
      </c>
      <c r="F1058" s="237" t="s">
        <v>126</v>
      </c>
      <c r="G1058" s="238" t="s">
        <v>134</v>
      </c>
    </row>
    <row r="1059" spans="1:7" s="1088" customFormat="1" ht="14.25" x14ac:dyDescent="0.2">
      <c r="A1059" s="209" t="s">
        <v>10</v>
      </c>
      <c r="B1059" s="259"/>
      <c r="C1059" s="260">
        <f>M2</f>
        <v>22981.8</v>
      </c>
      <c r="D1059" s="261">
        <f>N2</f>
        <v>1.76</v>
      </c>
      <c r="E1059" s="276">
        <f>C1059*D1059</f>
        <v>40447.968000000001</v>
      </c>
      <c r="F1059" s="222">
        <f>1/5</f>
        <v>0.2</v>
      </c>
      <c r="G1059" s="224">
        <f>F1059*E1059</f>
        <v>8089.5936000000002</v>
      </c>
    </row>
    <row r="1060" spans="1:7" s="1088" customFormat="1" ht="14.25" x14ac:dyDescent="0.2">
      <c r="A1060" s="209" t="s">
        <v>140</v>
      </c>
      <c r="B1060" s="259"/>
      <c r="C1060" s="260">
        <f>M3</f>
        <v>40000</v>
      </c>
      <c r="D1060" s="261">
        <f>N3</f>
        <v>1.76</v>
      </c>
      <c r="E1060" s="276">
        <f>C1060*D1060</f>
        <v>70400</v>
      </c>
      <c r="F1060" s="222">
        <f>1/5</f>
        <v>0.2</v>
      </c>
      <c r="G1060" s="224">
        <f>F1060*E1060</f>
        <v>14080</v>
      </c>
    </row>
    <row r="1061" spans="1:7" s="1088" customFormat="1" ht="14.25" x14ac:dyDescent="0.2">
      <c r="A1061" s="209"/>
      <c r="B1061" s="245"/>
      <c r="C1061" s="265"/>
      <c r="D1061" s="246"/>
      <c r="E1061" s="265"/>
      <c r="F1061" s="266"/>
      <c r="G1061" s="267"/>
    </row>
    <row r="1062" spans="1:7" s="1088" customFormat="1" ht="14.25" x14ac:dyDescent="0.2">
      <c r="A1062" s="249"/>
      <c r="B1062" s="250"/>
      <c r="C1062" s="252"/>
      <c r="D1062" s="251"/>
      <c r="E1062" s="252"/>
      <c r="F1062" s="254"/>
      <c r="G1062" s="268"/>
    </row>
    <row r="1063" spans="1:7" s="1088" customFormat="1" ht="15" x14ac:dyDescent="0.25">
      <c r="A1063" s="209"/>
      <c r="B1063" s="212"/>
      <c r="C1063" s="211"/>
      <c r="D1063" s="212"/>
      <c r="E1063" s="269"/>
      <c r="F1063" s="269" t="s">
        <v>121</v>
      </c>
      <c r="G1063" s="270">
        <f>+SUM(G1059:G1062)</f>
        <v>22169.5936</v>
      </c>
    </row>
    <row r="1064" spans="1:7" s="1088" customFormat="1" ht="15" x14ac:dyDescent="0.25">
      <c r="A1064" s="209"/>
      <c r="B1064" s="212"/>
      <c r="C1064" s="211"/>
      <c r="D1064" s="212"/>
      <c r="E1064" s="257"/>
      <c r="F1064" s="257"/>
      <c r="G1064" s="271"/>
    </row>
    <row r="1065" spans="1:7" s="1088" customFormat="1" ht="15" x14ac:dyDescent="0.25">
      <c r="A1065" s="216" t="s">
        <v>135</v>
      </c>
      <c r="B1065" s="212"/>
      <c r="C1065" s="211"/>
      <c r="D1065" s="212"/>
      <c r="E1065" s="213"/>
      <c r="F1065" s="214"/>
      <c r="G1065" s="215"/>
    </row>
    <row r="1066" spans="1:7" s="1088" customFormat="1" ht="14.25" x14ac:dyDescent="0.2">
      <c r="A1066" s="209"/>
      <c r="B1066" s="212"/>
      <c r="C1066" s="211"/>
      <c r="D1066" s="212"/>
      <c r="E1066" s="213"/>
      <c r="F1066" s="214"/>
      <c r="G1066" s="215"/>
    </row>
    <row r="1067" spans="1:7" s="1088" customFormat="1" ht="15" x14ac:dyDescent="0.25">
      <c r="A1067" s="1071" t="s">
        <v>116</v>
      </c>
      <c r="B1067" s="1072"/>
      <c r="C1067" s="236" t="s">
        <v>117</v>
      </c>
      <c r="D1067" s="235" t="s">
        <v>136</v>
      </c>
      <c r="E1067" s="236" t="s">
        <v>124</v>
      </c>
      <c r="F1067" s="237" t="s">
        <v>126</v>
      </c>
      <c r="G1067" s="238" t="s">
        <v>134</v>
      </c>
    </row>
    <row r="1068" spans="1:7" s="1088" customFormat="1" ht="14.25" x14ac:dyDescent="0.2">
      <c r="A1068" s="209" t="s">
        <v>175</v>
      </c>
      <c r="B1068" s="286"/>
      <c r="C1068" s="287" t="s">
        <v>79</v>
      </c>
      <c r="D1068" s="261"/>
      <c r="E1068" s="276">
        <v>68000</v>
      </c>
      <c r="F1068" s="222">
        <f>1/30</f>
        <v>3.3333333333333333E-2</v>
      </c>
      <c r="G1068" s="224">
        <f>F1068*E1068</f>
        <v>2266.6666666666665</v>
      </c>
    </row>
    <row r="1069" spans="1:7" s="1088" customFormat="1" ht="14.25" x14ac:dyDescent="0.2">
      <c r="A1069" s="209"/>
      <c r="B1069" s="275"/>
      <c r="C1069" s="260"/>
      <c r="D1069" s="261"/>
      <c r="E1069" s="276"/>
      <c r="F1069" s="222"/>
      <c r="G1069" s="224"/>
    </row>
    <row r="1070" spans="1:7" s="1088" customFormat="1" ht="14.25" x14ac:dyDescent="0.2">
      <c r="A1070" s="209"/>
      <c r="B1070" s="259"/>
      <c r="C1070" s="260"/>
      <c r="D1070" s="261"/>
      <c r="E1070" s="276"/>
      <c r="F1070" s="222"/>
      <c r="G1070" s="224"/>
    </row>
    <row r="1071" spans="1:7" s="1088" customFormat="1" ht="14.25" x14ac:dyDescent="0.2">
      <c r="A1071" s="209"/>
      <c r="B1071" s="259"/>
      <c r="C1071" s="260"/>
      <c r="D1071" s="261"/>
      <c r="E1071" s="276"/>
      <c r="F1071" s="222"/>
      <c r="G1071" s="224"/>
    </row>
    <row r="1072" spans="1:7" s="1088" customFormat="1" ht="14.25" x14ac:dyDescent="0.2">
      <c r="A1072" s="209"/>
      <c r="B1072" s="245"/>
      <c r="C1072" s="265"/>
      <c r="D1072" s="246"/>
      <c r="E1072" s="265"/>
      <c r="F1072" s="266"/>
      <c r="G1072" s="267"/>
    </row>
    <row r="1073" spans="1:7" s="1088" customFormat="1" ht="14.25" x14ac:dyDescent="0.2">
      <c r="A1073" s="249"/>
      <c r="B1073" s="250"/>
      <c r="C1073" s="252"/>
      <c r="D1073" s="251"/>
      <c r="E1073" s="252"/>
      <c r="F1073" s="254"/>
      <c r="G1073" s="268"/>
    </row>
    <row r="1074" spans="1:7" s="1088" customFormat="1" ht="15" x14ac:dyDescent="0.25">
      <c r="A1074" s="209"/>
      <c r="B1074" s="212"/>
      <c r="C1074" s="211"/>
      <c r="D1074" s="212"/>
      <c r="E1074" s="269"/>
      <c r="F1074" s="269" t="s">
        <v>121</v>
      </c>
      <c r="G1074" s="270">
        <f>+SUM(G1068:G1073)</f>
        <v>2266.6666666666665</v>
      </c>
    </row>
    <row r="1075" spans="1:7" s="1088" customFormat="1" ht="14.25" x14ac:dyDescent="0.2">
      <c r="A1075" s="209"/>
      <c r="B1075" s="212"/>
      <c r="C1075" s="211"/>
      <c r="D1075" s="212"/>
      <c r="E1075" s="213"/>
      <c r="F1075" s="214"/>
      <c r="G1075" s="271"/>
    </row>
    <row r="1076" spans="1:7" s="1088" customFormat="1" ht="15" x14ac:dyDescent="0.25">
      <c r="A1076" s="277"/>
      <c r="B1076" s="278"/>
      <c r="C1076" s="278"/>
      <c r="D1076" s="278"/>
      <c r="E1076" s="279"/>
      <c r="F1076" s="280" t="s">
        <v>137</v>
      </c>
      <c r="G1076" s="283">
        <f>+ROUND(G1044+G1054+G1063+G1074,0)</f>
        <v>40545</v>
      </c>
    </row>
    <row r="1077" spans="1:7" s="1088" customFormat="1" ht="14.25" x14ac:dyDescent="0.2">
      <c r="A1077" s="209"/>
      <c r="B1077" s="212"/>
      <c r="C1077" s="212"/>
      <c r="D1077" s="212"/>
      <c r="E1077" s="211"/>
      <c r="F1077" s="211"/>
      <c r="G1077" s="211"/>
    </row>
    <row r="1078" spans="1:7" s="1088" customFormat="1" ht="15" x14ac:dyDescent="0.25">
      <c r="A1078" s="145" t="s">
        <v>160</v>
      </c>
      <c r="B1078" s="1262" t="s">
        <v>161</v>
      </c>
      <c r="C1078" s="1263"/>
      <c r="D1078" s="1263"/>
      <c r="E1078" s="1263"/>
      <c r="F1078" s="1264"/>
      <c r="G1078" s="146" t="s">
        <v>2</v>
      </c>
    </row>
    <row r="1079" spans="1:7" s="1088" customFormat="1" ht="15" x14ac:dyDescent="0.25">
      <c r="A1079" s="285">
        <f>'FORMATO PROPUESTA ECONÓMICA'!A43</f>
        <v>6.11</v>
      </c>
      <c r="B1079" s="1265" t="str">
        <f>'FORMATO PROPUESTA ECONÓMICA'!B43</f>
        <v>Tee PEAD PN10 d=110x90x110mm Termofusion</v>
      </c>
      <c r="C1079" s="1266"/>
      <c r="D1079" s="1266"/>
      <c r="E1079" s="1266"/>
      <c r="F1079" s="1267"/>
      <c r="G1079" s="1058">
        <f>'FORMATO PROPUESTA ECONÓMICA'!D43</f>
        <v>59</v>
      </c>
    </row>
    <row r="1080" spans="1:7" s="1088" customFormat="1" ht="14.25" x14ac:dyDescent="0.2">
      <c r="A1080" s="209"/>
      <c r="B1080" s="210"/>
      <c r="C1080" s="211"/>
      <c r="D1080" s="212"/>
      <c r="E1080" s="213"/>
      <c r="F1080" s="214"/>
      <c r="G1080" s="215"/>
    </row>
    <row r="1081" spans="1:7" s="1088" customFormat="1" ht="15" x14ac:dyDescent="0.25">
      <c r="A1081" s="216" t="s">
        <v>115</v>
      </c>
      <c r="B1081" s="212"/>
      <c r="C1081" s="211"/>
      <c r="D1081" s="212"/>
      <c r="E1081" s="213"/>
      <c r="F1081" s="214"/>
      <c r="G1081" s="215"/>
    </row>
    <row r="1082" spans="1:7" s="1088" customFormat="1" ht="14.25" x14ac:dyDescent="0.2">
      <c r="A1082" s="209"/>
      <c r="B1082" s="212"/>
      <c r="C1082" s="211"/>
      <c r="D1082" s="212"/>
      <c r="E1082" s="213"/>
      <c r="F1082" s="214"/>
      <c r="G1082" s="215"/>
    </row>
    <row r="1083" spans="1:7" s="1088" customFormat="1" ht="15" x14ac:dyDescent="0.25">
      <c r="A1083" s="1075" t="s">
        <v>116</v>
      </c>
      <c r="B1083" s="1076"/>
      <c r="C1083" s="217" t="s">
        <v>117</v>
      </c>
      <c r="D1083" s="1075" t="s">
        <v>118</v>
      </c>
      <c r="E1083" s="218" t="s">
        <v>39</v>
      </c>
      <c r="F1083" s="1075" t="s">
        <v>119</v>
      </c>
      <c r="G1083" s="219" t="s">
        <v>120</v>
      </c>
    </row>
    <row r="1084" spans="1:7" s="1088" customFormat="1" ht="14.25" x14ac:dyDescent="0.2">
      <c r="A1084" s="209"/>
      <c r="B1084" s="286"/>
      <c r="C1084" s="220"/>
      <c r="D1084" s="261"/>
      <c r="E1084" s="276"/>
      <c r="F1084" s="222"/>
      <c r="G1084" s="224"/>
    </row>
    <row r="1085" spans="1:7" s="1088" customFormat="1" ht="15" customHeight="1" x14ac:dyDescent="0.2">
      <c r="A1085" s="1060"/>
      <c r="B1085" s="1068"/>
      <c r="C1085" s="225"/>
      <c r="D1085" s="221"/>
      <c r="E1085" s="226"/>
      <c r="F1085" s="227"/>
      <c r="G1085" s="228">
        <f>D1085*E1085</f>
        <v>0</v>
      </c>
    </row>
    <row r="1086" spans="1:7" s="1088" customFormat="1" ht="14.25" x14ac:dyDescent="0.2">
      <c r="A1086" s="1060"/>
      <c r="B1086" s="1068"/>
      <c r="C1086" s="229"/>
      <c r="D1086" s="221"/>
      <c r="E1086" s="226"/>
      <c r="F1086" s="227"/>
      <c r="G1086" s="228">
        <f>D1086*E1086</f>
        <v>0</v>
      </c>
    </row>
    <row r="1087" spans="1:7" s="1088" customFormat="1" ht="14.25" x14ac:dyDescent="0.2">
      <c r="A1087" s="1060"/>
      <c r="B1087" s="1068"/>
      <c r="C1087" s="225"/>
      <c r="D1087" s="221"/>
      <c r="E1087" s="226"/>
      <c r="F1087" s="227"/>
      <c r="G1087" s="228">
        <f>D1087*E1087</f>
        <v>0</v>
      </c>
    </row>
    <row r="1088" spans="1:7" s="1088" customFormat="1" ht="14.25" x14ac:dyDescent="0.2">
      <c r="A1088" s="1069"/>
      <c r="B1088" s="1070"/>
      <c r="C1088" s="230"/>
      <c r="D1088" s="231"/>
      <c r="E1088" s="232"/>
      <c r="F1088" s="233"/>
      <c r="G1088" s="228">
        <f>D1088*E1088</f>
        <v>0</v>
      </c>
    </row>
    <row r="1089" spans="1:7" s="1088" customFormat="1" ht="15" x14ac:dyDescent="0.25">
      <c r="A1089" s="1073"/>
      <c r="B1089" s="210"/>
      <c r="C1089" s="211"/>
      <c r="D1089" s="212"/>
      <c r="E1089" s="212"/>
      <c r="F1089" s="234" t="s">
        <v>121</v>
      </c>
      <c r="G1089" s="231">
        <f>+SUM(G1084:G1088)</f>
        <v>0</v>
      </c>
    </row>
    <row r="1090" spans="1:7" s="1088" customFormat="1" ht="14.25" x14ac:dyDescent="0.2">
      <c r="A1090" s="209"/>
      <c r="B1090" s="212"/>
      <c r="C1090" s="211" t="s">
        <v>123</v>
      </c>
      <c r="D1090" s="212"/>
      <c r="E1090" s="213"/>
      <c r="F1090" s="214"/>
      <c r="G1090" s="215"/>
    </row>
    <row r="1091" spans="1:7" s="1088" customFormat="1" ht="15" x14ac:dyDescent="0.25">
      <c r="A1091" s="216" t="s">
        <v>122</v>
      </c>
      <c r="B1091" s="212"/>
      <c r="C1091" s="211" t="s">
        <v>123</v>
      </c>
      <c r="D1091" s="212"/>
      <c r="E1091" s="213"/>
      <c r="F1091" s="214"/>
      <c r="G1091" s="215"/>
    </row>
    <row r="1092" spans="1:7" s="1088" customFormat="1" ht="14.25" x14ac:dyDescent="0.2">
      <c r="A1092" s="209"/>
      <c r="B1092" s="212"/>
      <c r="C1092" s="211"/>
      <c r="D1092" s="212"/>
      <c r="E1092" s="213"/>
      <c r="F1092" s="214"/>
      <c r="G1092" s="215"/>
    </row>
    <row r="1093" spans="1:7" s="1088" customFormat="1" ht="15" x14ac:dyDescent="0.25">
      <c r="A1093" s="1071" t="s">
        <v>116</v>
      </c>
      <c r="B1093" s="1072"/>
      <c r="C1093" s="235" t="s">
        <v>117</v>
      </c>
      <c r="D1093" s="236" t="s">
        <v>124</v>
      </c>
      <c r="E1093" s="236" t="s">
        <v>125</v>
      </c>
      <c r="F1093" s="237" t="s">
        <v>126</v>
      </c>
      <c r="G1093" s="238" t="s">
        <v>120</v>
      </c>
    </row>
    <row r="1094" spans="1:7" s="1088" customFormat="1" ht="28.5" x14ac:dyDescent="0.2">
      <c r="A1094" s="1066" t="s">
        <v>127</v>
      </c>
      <c r="B1094" s="1067"/>
      <c r="C1094" s="239" t="s">
        <v>128</v>
      </c>
      <c r="D1094" s="240"/>
      <c r="E1094" s="241"/>
      <c r="F1094" s="222"/>
      <c r="G1094" s="242">
        <f>G1108*0.05</f>
        <v>791.77120000000002</v>
      </c>
    </row>
    <row r="1095" spans="1:7" s="1088" customFormat="1" ht="14.25" x14ac:dyDescent="0.2">
      <c r="A1095" s="1073" t="s">
        <v>174</v>
      </c>
      <c r="B1095" s="1074"/>
      <c r="C1095" s="243" t="s">
        <v>176</v>
      </c>
      <c r="D1095" s="221">
        <v>450000</v>
      </c>
      <c r="E1095" s="244"/>
      <c r="F1095" s="222">
        <v>30</v>
      </c>
      <c r="G1095" s="224">
        <f>D1095/F1095</f>
        <v>15000</v>
      </c>
    </row>
    <row r="1096" spans="1:7" s="1088" customFormat="1" ht="14.25" x14ac:dyDescent="0.2">
      <c r="A1096" s="1073"/>
      <c r="B1096" s="1074"/>
      <c r="C1096" s="243"/>
      <c r="D1096" s="221"/>
      <c r="E1096" s="244"/>
      <c r="F1096" s="222"/>
      <c r="G1096" s="224"/>
    </row>
    <row r="1097" spans="1:7" s="1088" customFormat="1" ht="14.25" x14ac:dyDescent="0.2">
      <c r="A1097" s="209"/>
      <c r="B1097" s="245"/>
      <c r="C1097" s="246"/>
      <c r="D1097" s="221"/>
      <c r="E1097" s="247"/>
      <c r="F1097" s="222"/>
      <c r="G1097" s="248"/>
    </row>
    <row r="1098" spans="1:7" s="1088" customFormat="1" ht="14.25" x14ac:dyDescent="0.2">
      <c r="A1098" s="249"/>
      <c r="B1098" s="250"/>
      <c r="C1098" s="251"/>
      <c r="D1098" s="252"/>
      <c r="E1098" s="253"/>
      <c r="F1098" s="254"/>
      <c r="G1098" s="255"/>
    </row>
    <row r="1099" spans="1:7" s="1088" customFormat="1" ht="15" x14ac:dyDescent="0.25">
      <c r="A1099" s="209"/>
      <c r="B1099" s="214"/>
      <c r="C1099" s="256"/>
      <c r="D1099" s="214"/>
      <c r="E1099" s="212"/>
      <c r="F1099" s="257" t="s">
        <v>121</v>
      </c>
      <c r="G1099" s="258">
        <f>+SUM(G1094:G1098)</f>
        <v>15791.771199999999</v>
      </c>
    </row>
    <row r="1100" spans="1:7" s="1088" customFormat="1" ht="14.25" x14ac:dyDescent="0.2">
      <c r="A1100" s="209"/>
      <c r="B1100" s="212"/>
      <c r="C1100" s="211"/>
      <c r="D1100" s="212"/>
      <c r="E1100" s="213"/>
      <c r="F1100" s="212"/>
      <c r="G1100" s="215"/>
    </row>
    <row r="1101" spans="1:7" s="1088" customFormat="1" ht="15" x14ac:dyDescent="0.25">
      <c r="A1101" s="216" t="s">
        <v>130</v>
      </c>
      <c r="B1101" s="212"/>
      <c r="C1101" s="211"/>
      <c r="D1101" s="212"/>
      <c r="E1101" s="213"/>
      <c r="F1101" s="214"/>
      <c r="G1101" s="215"/>
    </row>
    <row r="1102" spans="1:7" s="1088" customFormat="1" ht="14.25" x14ac:dyDescent="0.2">
      <c r="A1102" s="209"/>
      <c r="B1102" s="212"/>
      <c r="C1102" s="211"/>
      <c r="D1102" s="212"/>
      <c r="E1102" s="213"/>
      <c r="F1102" s="214"/>
      <c r="G1102" s="215"/>
    </row>
    <row r="1103" spans="1:7" s="1088" customFormat="1" ht="15" x14ac:dyDescent="0.25">
      <c r="A1103" s="1071" t="s">
        <v>116</v>
      </c>
      <c r="B1103" s="1072"/>
      <c r="C1103" s="236" t="s">
        <v>131</v>
      </c>
      <c r="D1103" s="235" t="s">
        <v>132</v>
      </c>
      <c r="E1103" s="236" t="s">
        <v>133</v>
      </c>
      <c r="F1103" s="237" t="s">
        <v>126</v>
      </c>
      <c r="G1103" s="238" t="s">
        <v>134</v>
      </c>
    </row>
    <row r="1104" spans="1:7" s="1088" customFormat="1" ht="14.25" x14ac:dyDescent="0.2">
      <c r="A1104" s="209" t="s">
        <v>10</v>
      </c>
      <c r="B1104" s="259"/>
      <c r="C1104" s="260">
        <f>M2</f>
        <v>22981.8</v>
      </c>
      <c r="D1104" s="261">
        <f>N2</f>
        <v>1.76</v>
      </c>
      <c r="E1104" s="276">
        <f>C1104*D1104</f>
        <v>40447.968000000001</v>
      </c>
      <c r="F1104" s="222">
        <f>1/7</f>
        <v>0.14285714285714285</v>
      </c>
      <c r="G1104" s="224">
        <f>F1104*E1104</f>
        <v>5778.2811428571431</v>
      </c>
    </row>
    <row r="1105" spans="1:7" s="1088" customFormat="1" ht="14.25" x14ac:dyDescent="0.2">
      <c r="A1105" s="209" t="s">
        <v>140</v>
      </c>
      <c r="B1105" s="259"/>
      <c r="C1105" s="260">
        <f>M3</f>
        <v>40000</v>
      </c>
      <c r="D1105" s="261">
        <f>N3</f>
        <v>1.76</v>
      </c>
      <c r="E1105" s="276">
        <f>C1105*D1105</f>
        <v>70400</v>
      </c>
      <c r="F1105" s="222">
        <f>1/7</f>
        <v>0.14285714285714285</v>
      </c>
      <c r="G1105" s="224">
        <f>F1105*E1105</f>
        <v>10057.142857142857</v>
      </c>
    </row>
    <row r="1106" spans="1:7" s="1088" customFormat="1" ht="14.25" x14ac:dyDescent="0.2">
      <c r="A1106" s="209"/>
      <c r="B1106" s="245"/>
      <c r="C1106" s="265"/>
      <c r="D1106" s="246"/>
      <c r="E1106" s="265"/>
      <c r="F1106" s="266"/>
      <c r="G1106" s="267"/>
    </row>
    <row r="1107" spans="1:7" s="1088" customFormat="1" ht="14.25" x14ac:dyDescent="0.2">
      <c r="A1107" s="249"/>
      <c r="B1107" s="250"/>
      <c r="C1107" s="252"/>
      <c r="D1107" s="251"/>
      <c r="E1107" s="252"/>
      <c r="F1107" s="254"/>
      <c r="G1107" s="268"/>
    </row>
    <row r="1108" spans="1:7" s="1088" customFormat="1" ht="15" x14ac:dyDescent="0.25">
      <c r="A1108" s="209"/>
      <c r="B1108" s="212"/>
      <c r="C1108" s="211"/>
      <c r="D1108" s="212"/>
      <c r="E1108" s="269"/>
      <c r="F1108" s="269" t="s">
        <v>121</v>
      </c>
      <c r="G1108" s="270">
        <f>+SUM(G1104:G1107)</f>
        <v>15835.423999999999</v>
      </c>
    </row>
    <row r="1109" spans="1:7" s="1088" customFormat="1" ht="15" x14ac:dyDescent="0.25">
      <c r="A1109" s="209"/>
      <c r="B1109" s="212"/>
      <c r="C1109" s="211"/>
      <c r="D1109" s="212"/>
      <c r="E1109" s="257"/>
      <c r="F1109" s="257"/>
      <c r="G1109" s="271"/>
    </row>
    <row r="1110" spans="1:7" s="1088" customFormat="1" ht="15" x14ac:dyDescent="0.25">
      <c r="A1110" s="216" t="s">
        <v>135</v>
      </c>
      <c r="B1110" s="212"/>
      <c r="C1110" s="211"/>
      <c r="D1110" s="212"/>
      <c r="E1110" s="213"/>
      <c r="F1110" s="214"/>
      <c r="G1110" s="215"/>
    </row>
    <row r="1111" spans="1:7" s="1088" customFormat="1" ht="14.25" x14ac:dyDescent="0.2">
      <c r="A1111" s="209"/>
      <c r="B1111" s="212"/>
      <c r="C1111" s="211"/>
      <c r="D1111" s="212"/>
      <c r="E1111" s="213"/>
      <c r="F1111" s="214"/>
      <c r="G1111" s="215"/>
    </row>
    <row r="1112" spans="1:7" s="1088" customFormat="1" ht="15" x14ac:dyDescent="0.25">
      <c r="A1112" s="1071" t="s">
        <v>116</v>
      </c>
      <c r="B1112" s="1072"/>
      <c r="C1112" s="236" t="s">
        <v>117</v>
      </c>
      <c r="D1112" s="235" t="s">
        <v>136</v>
      </c>
      <c r="E1112" s="236" t="s">
        <v>124</v>
      </c>
      <c r="F1112" s="237" t="s">
        <v>126</v>
      </c>
      <c r="G1112" s="238" t="s">
        <v>134</v>
      </c>
    </row>
    <row r="1113" spans="1:7" s="1088" customFormat="1" ht="14.25" x14ac:dyDescent="0.2">
      <c r="A1113" s="209" t="s">
        <v>175</v>
      </c>
      <c r="B1113" s="286"/>
      <c r="C1113" s="287" t="s">
        <v>79</v>
      </c>
      <c r="D1113" s="261"/>
      <c r="E1113" s="276">
        <v>68000</v>
      </c>
      <c r="F1113" s="222">
        <f>1/30</f>
        <v>3.3333333333333333E-2</v>
      </c>
      <c r="G1113" s="224">
        <f>F1113*E1113</f>
        <v>2266.6666666666665</v>
      </c>
    </row>
    <row r="1114" spans="1:7" s="1088" customFormat="1" ht="14.25" x14ac:dyDescent="0.2">
      <c r="A1114" s="209"/>
      <c r="B1114" s="275"/>
      <c r="C1114" s="260"/>
      <c r="D1114" s="261"/>
      <c r="E1114" s="276"/>
      <c r="F1114" s="222"/>
      <c r="G1114" s="224"/>
    </row>
    <row r="1115" spans="1:7" s="1088" customFormat="1" ht="14.25" x14ac:dyDescent="0.2">
      <c r="A1115" s="209"/>
      <c r="B1115" s="259"/>
      <c r="C1115" s="260"/>
      <c r="D1115" s="261"/>
      <c r="E1115" s="276"/>
      <c r="F1115" s="222"/>
      <c r="G1115" s="224"/>
    </row>
    <row r="1116" spans="1:7" s="1088" customFormat="1" ht="14.25" x14ac:dyDescent="0.2">
      <c r="A1116" s="209"/>
      <c r="B1116" s="259"/>
      <c r="C1116" s="260"/>
      <c r="D1116" s="261"/>
      <c r="E1116" s="276"/>
      <c r="F1116" s="222"/>
      <c r="G1116" s="224"/>
    </row>
    <row r="1117" spans="1:7" s="1088" customFormat="1" ht="14.25" x14ac:dyDescent="0.2">
      <c r="A1117" s="209"/>
      <c r="B1117" s="245"/>
      <c r="C1117" s="265"/>
      <c r="D1117" s="246"/>
      <c r="E1117" s="265"/>
      <c r="F1117" s="266"/>
      <c r="G1117" s="267"/>
    </row>
    <row r="1118" spans="1:7" s="1088" customFormat="1" ht="14.25" x14ac:dyDescent="0.2">
      <c r="A1118" s="249"/>
      <c r="B1118" s="250"/>
      <c r="C1118" s="252"/>
      <c r="D1118" s="251"/>
      <c r="E1118" s="252"/>
      <c r="F1118" s="254"/>
      <c r="G1118" s="268"/>
    </row>
    <row r="1119" spans="1:7" s="1088" customFormat="1" ht="15" x14ac:dyDescent="0.25">
      <c r="A1119" s="209"/>
      <c r="B1119" s="212"/>
      <c r="C1119" s="211"/>
      <c r="D1119" s="212"/>
      <c r="E1119" s="269"/>
      <c r="F1119" s="269" t="s">
        <v>121</v>
      </c>
      <c r="G1119" s="270">
        <f>+SUM(G1113:G1118)</f>
        <v>2266.6666666666665</v>
      </c>
    </row>
    <row r="1120" spans="1:7" s="1088" customFormat="1" ht="14.25" x14ac:dyDescent="0.2">
      <c r="A1120" s="209"/>
      <c r="B1120" s="212"/>
      <c r="C1120" s="211"/>
      <c r="D1120" s="212"/>
      <c r="E1120" s="213"/>
      <c r="F1120" s="214"/>
      <c r="G1120" s="271"/>
    </row>
    <row r="1121" spans="1:7" s="1088" customFormat="1" ht="15" x14ac:dyDescent="0.25">
      <c r="A1121" s="277"/>
      <c r="B1121" s="278"/>
      <c r="C1121" s="278"/>
      <c r="D1121" s="278"/>
      <c r="E1121" s="279"/>
      <c r="F1121" s="280" t="s">
        <v>137</v>
      </c>
      <c r="G1121" s="283">
        <f>+ROUND(G1089+G1099+G1108+G1119,0)</f>
        <v>33894</v>
      </c>
    </row>
    <row r="1122" spans="1:7" s="1088" customFormat="1" ht="15" x14ac:dyDescent="0.25">
      <c r="A1122" s="209"/>
      <c r="B1122" s="212"/>
      <c r="C1122" s="212"/>
      <c r="D1122" s="212"/>
      <c r="E1122" s="211"/>
      <c r="F1122" s="257"/>
      <c r="G1122" s="257"/>
    </row>
    <row r="1123" spans="1:7" s="1088" customFormat="1" ht="15" x14ac:dyDescent="0.25">
      <c r="A1123" s="209"/>
      <c r="B1123" s="212"/>
      <c r="C1123" s="212"/>
      <c r="D1123" s="212"/>
      <c r="E1123" s="211"/>
      <c r="F1123" s="257"/>
      <c r="G1123" s="257"/>
    </row>
    <row r="1124" spans="1:7" s="1088" customFormat="1" ht="15" x14ac:dyDescent="0.25">
      <c r="A1124" s="145" t="s">
        <v>160</v>
      </c>
      <c r="B1124" s="1262" t="s">
        <v>161</v>
      </c>
      <c r="C1124" s="1263"/>
      <c r="D1124" s="1263"/>
      <c r="E1124" s="1263"/>
      <c r="F1124" s="1264"/>
      <c r="G1124" s="146" t="s">
        <v>2</v>
      </c>
    </row>
    <row r="1125" spans="1:7" s="1088" customFormat="1" ht="15" x14ac:dyDescent="0.25">
      <c r="A1125" s="285">
        <f>'FORMATO PROPUESTA ECONÓMICA'!A44</f>
        <v>6.12</v>
      </c>
      <c r="B1125" s="1265" t="str">
        <f>'FORMATO PROPUESTA ECONÓMICA'!B44</f>
        <v>Tee PEAD PN10 d=110x63x110mm Termofusion</v>
      </c>
      <c r="C1125" s="1266"/>
      <c r="D1125" s="1266"/>
      <c r="E1125" s="1266"/>
      <c r="F1125" s="1267"/>
      <c r="G1125" s="187" t="str">
        <f>'FORMATO PROPUESTA ECONÓMICA'!C44</f>
        <v>und</v>
      </c>
    </row>
    <row r="1126" spans="1:7" s="1088" customFormat="1" ht="14.25" x14ac:dyDescent="0.2">
      <c r="A1126" s="209"/>
      <c r="B1126" s="210"/>
      <c r="C1126" s="211"/>
      <c r="D1126" s="212"/>
      <c r="E1126" s="213"/>
      <c r="F1126" s="214"/>
      <c r="G1126" s="215"/>
    </row>
    <row r="1127" spans="1:7" s="1088" customFormat="1" ht="15" x14ac:dyDescent="0.25">
      <c r="A1127" s="216" t="s">
        <v>115</v>
      </c>
      <c r="B1127" s="212"/>
      <c r="C1127" s="211"/>
      <c r="D1127" s="212"/>
      <c r="E1127" s="213"/>
      <c r="F1127" s="214"/>
      <c r="G1127" s="215"/>
    </row>
    <row r="1128" spans="1:7" s="1088" customFormat="1" ht="14.25" x14ac:dyDescent="0.2">
      <c r="A1128" s="209"/>
      <c r="B1128" s="212"/>
      <c r="C1128" s="211"/>
      <c r="D1128" s="212"/>
      <c r="E1128" s="213"/>
      <c r="F1128" s="214"/>
      <c r="G1128" s="215"/>
    </row>
    <row r="1129" spans="1:7" s="1088" customFormat="1" ht="15" x14ac:dyDescent="0.25">
      <c r="A1129" s="1075" t="s">
        <v>116</v>
      </c>
      <c r="B1129" s="1076"/>
      <c r="C1129" s="217" t="s">
        <v>117</v>
      </c>
      <c r="D1129" s="1075" t="s">
        <v>118</v>
      </c>
      <c r="E1129" s="218" t="s">
        <v>39</v>
      </c>
      <c r="F1129" s="1075" t="s">
        <v>119</v>
      </c>
      <c r="G1129" s="219" t="s">
        <v>120</v>
      </c>
    </row>
    <row r="1130" spans="1:7" s="1088" customFormat="1" ht="14.25" x14ac:dyDescent="0.2">
      <c r="A1130" s="209"/>
      <c r="B1130" s="286"/>
      <c r="C1130" s="220"/>
      <c r="D1130" s="261"/>
      <c r="E1130" s="276"/>
      <c r="F1130" s="222"/>
      <c r="G1130" s="224"/>
    </row>
    <row r="1131" spans="1:7" s="1088" customFormat="1" ht="14.25" x14ac:dyDescent="0.2">
      <c r="A1131" s="1060"/>
      <c r="B1131" s="1068"/>
      <c r="C1131" s="225"/>
      <c r="D1131" s="221"/>
      <c r="E1131" s="226"/>
      <c r="F1131" s="227"/>
      <c r="G1131" s="228">
        <f>D1131*E1131</f>
        <v>0</v>
      </c>
    </row>
    <row r="1132" spans="1:7" s="1088" customFormat="1" ht="14.25" x14ac:dyDescent="0.2">
      <c r="A1132" s="1060"/>
      <c r="B1132" s="1068"/>
      <c r="C1132" s="229"/>
      <c r="D1132" s="221"/>
      <c r="E1132" s="226"/>
      <c r="F1132" s="227"/>
      <c r="G1132" s="228">
        <f>D1132*E1132</f>
        <v>0</v>
      </c>
    </row>
    <row r="1133" spans="1:7" s="1088" customFormat="1" ht="14.25" x14ac:dyDescent="0.2">
      <c r="A1133" s="1060"/>
      <c r="B1133" s="1068"/>
      <c r="C1133" s="225"/>
      <c r="D1133" s="221"/>
      <c r="E1133" s="226"/>
      <c r="F1133" s="227"/>
      <c r="G1133" s="228">
        <f>D1133*E1133</f>
        <v>0</v>
      </c>
    </row>
    <row r="1134" spans="1:7" s="1088" customFormat="1" ht="14.25" x14ac:dyDescent="0.2">
      <c r="A1134" s="1069"/>
      <c r="B1134" s="1070"/>
      <c r="C1134" s="230"/>
      <c r="D1134" s="231"/>
      <c r="E1134" s="232"/>
      <c r="F1134" s="233"/>
      <c r="G1134" s="228">
        <f>D1134*E1134</f>
        <v>0</v>
      </c>
    </row>
    <row r="1135" spans="1:7" s="1088" customFormat="1" ht="15" x14ac:dyDescent="0.25">
      <c r="A1135" s="1073"/>
      <c r="B1135" s="210"/>
      <c r="C1135" s="211"/>
      <c r="D1135" s="212"/>
      <c r="E1135" s="212"/>
      <c r="F1135" s="234" t="s">
        <v>121</v>
      </c>
      <c r="G1135" s="231">
        <f>+SUM(G1130:G1134)</f>
        <v>0</v>
      </c>
    </row>
    <row r="1136" spans="1:7" s="1088" customFormat="1" ht="14.25" x14ac:dyDescent="0.2">
      <c r="A1136" s="209"/>
      <c r="B1136" s="212"/>
      <c r="C1136" s="211" t="s">
        <v>123</v>
      </c>
      <c r="D1136" s="212"/>
      <c r="E1136" s="213"/>
      <c r="F1136" s="214"/>
      <c r="G1136" s="215"/>
    </row>
    <row r="1137" spans="1:7" s="1088" customFormat="1" ht="15" x14ac:dyDescent="0.25">
      <c r="A1137" s="216" t="s">
        <v>122</v>
      </c>
      <c r="B1137" s="212"/>
      <c r="C1137" s="211" t="s">
        <v>123</v>
      </c>
      <c r="D1137" s="212"/>
      <c r="E1137" s="213"/>
      <c r="F1137" s="214"/>
      <c r="G1137" s="215"/>
    </row>
    <row r="1138" spans="1:7" s="1088" customFormat="1" ht="14.25" x14ac:dyDescent="0.2">
      <c r="A1138" s="209"/>
      <c r="B1138" s="212"/>
      <c r="C1138" s="211"/>
      <c r="D1138" s="212"/>
      <c r="E1138" s="213"/>
      <c r="F1138" s="214"/>
      <c r="G1138" s="215"/>
    </row>
    <row r="1139" spans="1:7" s="1088" customFormat="1" ht="15" x14ac:dyDescent="0.25">
      <c r="A1139" s="1071" t="s">
        <v>116</v>
      </c>
      <c r="B1139" s="1072"/>
      <c r="C1139" s="235" t="s">
        <v>117</v>
      </c>
      <c r="D1139" s="236" t="s">
        <v>124</v>
      </c>
      <c r="E1139" s="236" t="s">
        <v>125</v>
      </c>
      <c r="F1139" s="237" t="s">
        <v>126</v>
      </c>
      <c r="G1139" s="238" t="s">
        <v>120</v>
      </c>
    </row>
    <row r="1140" spans="1:7" s="1088" customFormat="1" ht="28.5" x14ac:dyDescent="0.2">
      <c r="A1140" s="1066" t="s">
        <v>127</v>
      </c>
      <c r="B1140" s="1067"/>
      <c r="C1140" s="239" t="s">
        <v>128</v>
      </c>
      <c r="D1140" s="240"/>
      <c r="E1140" s="241"/>
      <c r="F1140" s="222"/>
      <c r="G1140" s="242">
        <f>G1154*0.05</f>
        <v>791.77120000000002</v>
      </c>
    </row>
    <row r="1141" spans="1:7" s="1088" customFormat="1" ht="14.25" x14ac:dyDescent="0.2">
      <c r="A1141" s="1073" t="s">
        <v>174</v>
      </c>
      <c r="B1141" s="1074"/>
      <c r="C1141" s="243" t="s">
        <v>176</v>
      </c>
      <c r="D1141" s="221">
        <v>450000</v>
      </c>
      <c r="E1141" s="244"/>
      <c r="F1141" s="222">
        <v>30</v>
      </c>
      <c r="G1141" s="224">
        <f>D1141/F1141</f>
        <v>15000</v>
      </c>
    </row>
    <row r="1142" spans="1:7" s="1088" customFormat="1" ht="14.25" x14ac:dyDescent="0.2">
      <c r="A1142" s="1073"/>
      <c r="B1142" s="1074"/>
      <c r="C1142" s="243"/>
      <c r="D1142" s="221"/>
      <c r="E1142" s="244"/>
      <c r="F1142" s="222"/>
      <c r="G1142" s="224"/>
    </row>
    <row r="1143" spans="1:7" s="1088" customFormat="1" ht="14.25" x14ac:dyDescent="0.2">
      <c r="A1143" s="209"/>
      <c r="B1143" s="245"/>
      <c r="C1143" s="246"/>
      <c r="D1143" s="221"/>
      <c r="E1143" s="247"/>
      <c r="F1143" s="222"/>
      <c r="G1143" s="248"/>
    </row>
    <row r="1144" spans="1:7" s="1088" customFormat="1" ht="14.25" x14ac:dyDescent="0.2">
      <c r="A1144" s="249"/>
      <c r="B1144" s="250"/>
      <c r="C1144" s="251"/>
      <c r="D1144" s="252"/>
      <c r="E1144" s="253"/>
      <c r="F1144" s="254"/>
      <c r="G1144" s="255"/>
    </row>
    <row r="1145" spans="1:7" s="1088" customFormat="1" ht="15" x14ac:dyDescent="0.25">
      <c r="A1145" s="209"/>
      <c r="B1145" s="214"/>
      <c r="C1145" s="256"/>
      <c r="D1145" s="214"/>
      <c r="E1145" s="212"/>
      <c r="F1145" s="257" t="s">
        <v>121</v>
      </c>
      <c r="G1145" s="258">
        <f>+SUM(G1140:G1144)</f>
        <v>15791.771199999999</v>
      </c>
    </row>
    <row r="1146" spans="1:7" s="1088" customFormat="1" ht="14.25" x14ac:dyDescent="0.2">
      <c r="A1146" s="209"/>
      <c r="B1146" s="212"/>
      <c r="C1146" s="211"/>
      <c r="D1146" s="212"/>
      <c r="E1146" s="213"/>
      <c r="F1146" s="212"/>
      <c r="G1146" s="215"/>
    </row>
    <row r="1147" spans="1:7" s="1088" customFormat="1" ht="15" x14ac:dyDescent="0.25">
      <c r="A1147" s="216" t="s">
        <v>130</v>
      </c>
      <c r="B1147" s="212"/>
      <c r="C1147" s="211"/>
      <c r="D1147" s="212"/>
      <c r="E1147" s="213"/>
      <c r="F1147" s="214"/>
      <c r="G1147" s="215"/>
    </row>
    <row r="1148" spans="1:7" s="1088" customFormat="1" ht="14.25" x14ac:dyDescent="0.2">
      <c r="A1148" s="209"/>
      <c r="B1148" s="212"/>
      <c r="C1148" s="211"/>
      <c r="D1148" s="212"/>
      <c r="E1148" s="213"/>
      <c r="F1148" s="214"/>
      <c r="G1148" s="215"/>
    </row>
    <row r="1149" spans="1:7" s="1088" customFormat="1" ht="15" x14ac:dyDescent="0.25">
      <c r="A1149" s="1071" t="s">
        <v>116</v>
      </c>
      <c r="B1149" s="1072"/>
      <c r="C1149" s="236" t="s">
        <v>131</v>
      </c>
      <c r="D1149" s="235" t="s">
        <v>132</v>
      </c>
      <c r="E1149" s="236" t="s">
        <v>133</v>
      </c>
      <c r="F1149" s="237" t="s">
        <v>126</v>
      </c>
      <c r="G1149" s="238" t="s">
        <v>134</v>
      </c>
    </row>
    <row r="1150" spans="1:7" s="1088" customFormat="1" ht="14.25" x14ac:dyDescent="0.2">
      <c r="A1150" s="209" t="s">
        <v>10</v>
      </c>
      <c r="B1150" s="259"/>
      <c r="C1150" s="260">
        <f>M2</f>
        <v>22981.8</v>
      </c>
      <c r="D1150" s="261">
        <f>N2</f>
        <v>1.76</v>
      </c>
      <c r="E1150" s="276">
        <f>C1150*D1150</f>
        <v>40447.968000000001</v>
      </c>
      <c r="F1150" s="222">
        <f>1/7</f>
        <v>0.14285714285714285</v>
      </c>
      <c r="G1150" s="224">
        <f>F1150*E1150</f>
        <v>5778.2811428571431</v>
      </c>
    </row>
    <row r="1151" spans="1:7" s="1088" customFormat="1" ht="14.25" x14ac:dyDescent="0.2">
      <c r="A1151" s="209" t="s">
        <v>140</v>
      </c>
      <c r="B1151" s="259"/>
      <c r="C1151" s="260">
        <f>M3</f>
        <v>40000</v>
      </c>
      <c r="D1151" s="261">
        <f>N2</f>
        <v>1.76</v>
      </c>
      <c r="E1151" s="276">
        <f>C1151*D1151</f>
        <v>70400</v>
      </c>
      <c r="F1151" s="222">
        <f>1/7</f>
        <v>0.14285714285714285</v>
      </c>
      <c r="G1151" s="224">
        <f>F1151*E1151</f>
        <v>10057.142857142857</v>
      </c>
    </row>
    <row r="1152" spans="1:7" s="1088" customFormat="1" ht="14.25" x14ac:dyDescent="0.2">
      <c r="A1152" s="209"/>
      <c r="B1152" s="245"/>
      <c r="C1152" s="265"/>
      <c r="D1152" s="246"/>
      <c r="E1152" s="265"/>
      <c r="F1152" s="266"/>
      <c r="G1152" s="267"/>
    </row>
    <row r="1153" spans="1:7" s="1088" customFormat="1" ht="14.25" x14ac:dyDescent="0.2">
      <c r="A1153" s="249"/>
      <c r="B1153" s="250"/>
      <c r="C1153" s="252"/>
      <c r="D1153" s="251"/>
      <c r="E1153" s="252"/>
      <c r="F1153" s="254"/>
      <c r="G1153" s="268"/>
    </row>
    <row r="1154" spans="1:7" s="1088" customFormat="1" ht="15" x14ac:dyDescent="0.25">
      <c r="A1154" s="209"/>
      <c r="B1154" s="212"/>
      <c r="C1154" s="211"/>
      <c r="D1154" s="212"/>
      <c r="E1154" s="269"/>
      <c r="F1154" s="269" t="s">
        <v>121</v>
      </c>
      <c r="G1154" s="270">
        <f>+SUM(G1150:G1153)</f>
        <v>15835.423999999999</v>
      </c>
    </row>
    <row r="1155" spans="1:7" s="1088" customFormat="1" ht="15" x14ac:dyDescent="0.25">
      <c r="A1155" s="209"/>
      <c r="B1155" s="212"/>
      <c r="C1155" s="211"/>
      <c r="D1155" s="212"/>
      <c r="E1155" s="257"/>
      <c r="F1155" s="257"/>
      <c r="G1155" s="271"/>
    </row>
    <row r="1156" spans="1:7" s="1088" customFormat="1" ht="15" x14ac:dyDescent="0.25">
      <c r="A1156" s="216" t="s">
        <v>135</v>
      </c>
      <c r="B1156" s="212"/>
      <c r="C1156" s="211"/>
      <c r="D1156" s="212"/>
      <c r="E1156" s="213"/>
      <c r="F1156" s="214"/>
      <c r="G1156" s="215"/>
    </row>
    <row r="1157" spans="1:7" s="1088" customFormat="1" ht="14.25" x14ac:dyDescent="0.2">
      <c r="A1157" s="209"/>
      <c r="B1157" s="212"/>
      <c r="C1157" s="211"/>
      <c r="D1157" s="212"/>
      <c r="E1157" s="213"/>
      <c r="F1157" s="214"/>
      <c r="G1157" s="215"/>
    </row>
    <row r="1158" spans="1:7" s="1088" customFormat="1" ht="15" x14ac:dyDescent="0.25">
      <c r="A1158" s="1071" t="s">
        <v>116</v>
      </c>
      <c r="B1158" s="1072"/>
      <c r="C1158" s="236" t="s">
        <v>117</v>
      </c>
      <c r="D1158" s="235" t="s">
        <v>136</v>
      </c>
      <c r="E1158" s="236" t="s">
        <v>124</v>
      </c>
      <c r="F1158" s="237" t="s">
        <v>126</v>
      </c>
      <c r="G1158" s="238" t="s">
        <v>134</v>
      </c>
    </row>
    <row r="1159" spans="1:7" s="1088" customFormat="1" ht="14.25" x14ac:dyDescent="0.2">
      <c r="A1159" s="209" t="s">
        <v>175</v>
      </c>
      <c r="B1159" s="286"/>
      <c r="C1159" s="287" t="s">
        <v>79</v>
      </c>
      <c r="D1159" s="261"/>
      <c r="E1159" s="276">
        <v>68000</v>
      </c>
      <c r="F1159" s="222">
        <f>1/30</f>
        <v>3.3333333333333333E-2</v>
      </c>
      <c r="G1159" s="224">
        <f>F1159*E1159</f>
        <v>2266.6666666666665</v>
      </c>
    </row>
    <row r="1160" spans="1:7" s="1088" customFormat="1" ht="14.25" x14ac:dyDescent="0.2">
      <c r="A1160" s="209"/>
      <c r="B1160" s="275"/>
      <c r="C1160" s="260"/>
      <c r="D1160" s="261"/>
      <c r="E1160" s="276"/>
      <c r="F1160" s="222"/>
      <c r="G1160" s="224"/>
    </row>
    <row r="1161" spans="1:7" s="1088" customFormat="1" ht="14.25" x14ac:dyDescent="0.2">
      <c r="A1161" s="209"/>
      <c r="B1161" s="259"/>
      <c r="C1161" s="260"/>
      <c r="D1161" s="261"/>
      <c r="E1161" s="276"/>
      <c r="F1161" s="222"/>
      <c r="G1161" s="224"/>
    </row>
    <row r="1162" spans="1:7" s="1088" customFormat="1" ht="14.25" x14ac:dyDescent="0.2">
      <c r="A1162" s="209"/>
      <c r="B1162" s="259"/>
      <c r="C1162" s="260"/>
      <c r="D1162" s="261"/>
      <c r="E1162" s="276"/>
      <c r="F1162" s="222"/>
      <c r="G1162" s="224"/>
    </row>
    <row r="1163" spans="1:7" s="1088" customFormat="1" ht="14.25" x14ac:dyDescent="0.2">
      <c r="A1163" s="209"/>
      <c r="B1163" s="245"/>
      <c r="C1163" s="265"/>
      <c r="D1163" s="246"/>
      <c r="E1163" s="265"/>
      <c r="F1163" s="266"/>
      <c r="G1163" s="267"/>
    </row>
    <row r="1164" spans="1:7" s="1088" customFormat="1" ht="14.25" x14ac:dyDescent="0.2">
      <c r="A1164" s="249"/>
      <c r="B1164" s="250"/>
      <c r="C1164" s="252"/>
      <c r="D1164" s="251"/>
      <c r="E1164" s="252"/>
      <c r="F1164" s="254"/>
      <c r="G1164" s="268"/>
    </row>
    <row r="1165" spans="1:7" s="1088" customFormat="1" ht="15" x14ac:dyDescent="0.25">
      <c r="A1165" s="209"/>
      <c r="B1165" s="212"/>
      <c r="C1165" s="211"/>
      <c r="D1165" s="212"/>
      <c r="E1165" s="269"/>
      <c r="F1165" s="269" t="s">
        <v>121</v>
      </c>
      <c r="G1165" s="270">
        <f>+SUM(G1159:G1164)</f>
        <v>2266.6666666666665</v>
      </c>
    </row>
    <row r="1166" spans="1:7" s="1088" customFormat="1" ht="14.25" x14ac:dyDescent="0.2">
      <c r="A1166" s="209"/>
      <c r="B1166" s="212"/>
      <c r="C1166" s="211"/>
      <c r="D1166" s="212"/>
      <c r="E1166" s="213"/>
      <c r="F1166" s="214"/>
      <c r="G1166" s="271"/>
    </row>
    <row r="1167" spans="1:7" s="1088" customFormat="1" ht="15" x14ac:dyDescent="0.25">
      <c r="A1167" s="277"/>
      <c r="B1167" s="278"/>
      <c r="C1167" s="278"/>
      <c r="D1167" s="278"/>
      <c r="E1167" s="279"/>
      <c r="F1167" s="280" t="s">
        <v>137</v>
      </c>
      <c r="G1167" s="283">
        <f>+ROUND(G1135+G1145+G1154+G1165,0)</f>
        <v>33894</v>
      </c>
    </row>
    <row r="1168" spans="1:7" s="1088" customFormat="1" ht="15" x14ac:dyDescent="0.25">
      <c r="A1168" s="209"/>
      <c r="B1168" s="212"/>
      <c r="C1168" s="212"/>
      <c r="D1168" s="212"/>
      <c r="E1168" s="211"/>
      <c r="F1168" s="257"/>
      <c r="G1168" s="257"/>
    </row>
    <row r="1169" spans="1:7" s="1088" customFormat="1" ht="15" x14ac:dyDescent="0.25">
      <c r="A1169" s="209"/>
      <c r="B1169" s="212"/>
      <c r="C1169" s="212"/>
      <c r="D1169" s="212"/>
      <c r="E1169" s="211"/>
      <c r="F1169" s="257"/>
      <c r="G1169" s="257"/>
    </row>
    <row r="1170" spans="1:7" s="1088" customFormat="1" ht="15" x14ac:dyDescent="0.25">
      <c r="A1170" s="145" t="s">
        <v>160</v>
      </c>
      <c r="B1170" s="1262" t="s">
        <v>161</v>
      </c>
      <c r="C1170" s="1263"/>
      <c r="D1170" s="1263"/>
      <c r="E1170" s="1263"/>
      <c r="F1170" s="1264"/>
      <c r="G1170" s="146" t="s">
        <v>2</v>
      </c>
    </row>
    <row r="1171" spans="1:7" s="1088" customFormat="1" ht="15" x14ac:dyDescent="0.25">
      <c r="A1171" s="285">
        <f>'FORMATO PROPUESTA ECONÓMICA'!A45</f>
        <v>6.13</v>
      </c>
      <c r="B1171" s="1265" t="str">
        <f>'FORMATO PROPUESTA ECONÓMICA'!B45</f>
        <v>Tee PEAD PN10 d= 90x63x90 Termofusion</v>
      </c>
      <c r="C1171" s="1266"/>
      <c r="D1171" s="1266"/>
      <c r="E1171" s="1266"/>
      <c r="F1171" s="1267"/>
      <c r="G1171" s="187" t="str">
        <f>'FORMATO PROPUESTA ECONÓMICA'!C45</f>
        <v>und</v>
      </c>
    </row>
    <row r="1172" spans="1:7" s="1088" customFormat="1" ht="14.25" x14ac:dyDescent="0.2">
      <c r="A1172" s="209"/>
      <c r="B1172" s="210"/>
      <c r="C1172" s="211"/>
      <c r="D1172" s="212"/>
      <c r="E1172" s="213"/>
      <c r="F1172" s="214"/>
      <c r="G1172" s="215"/>
    </row>
    <row r="1173" spans="1:7" s="1088" customFormat="1" ht="15" x14ac:dyDescent="0.25">
      <c r="A1173" s="216" t="s">
        <v>115</v>
      </c>
      <c r="B1173" s="212"/>
      <c r="C1173" s="211"/>
      <c r="D1173" s="212"/>
      <c r="E1173" s="213"/>
      <c r="F1173" s="214"/>
      <c r="G1173" s="215"/>
    </row>
    <row r="1174" spans="1:7" s="1088" customFormat="1" ht="14.25" x14ac:dyDescent="0.2">
      <c r="A1174" s="209"/>
      <c r="B1174" s="212"/>
      <c r="C1174" s="211"/>
      <c r="D1174" s="212"/>
      <c r="E1174" s="213"/>
      <c r="F1174" s="214"/>
      <c r="G1174" s="215"/>
    </row>
    <row r="1175" spans="1:7" s="1088" customFormat="1" ht="15" x14ac:dyDescent="0.25">
      <c r="A1175" s="1262" t="s">
        <v>116</v>
      </c>
      <c r="B1175" s="1264"/>
      <c r="C1175" s="217" t="s">
        <v>117</v>
      </c>
      <c r="D1175" s="1075" t="s">
        <v>118</v>
      </c>
      <c r="E1175" s="218" t="s">
        <v>39</v>
      </c>
      <c r="F1175" s="1075" t="s">
        <v>119</v>
      </c>
      <c r="G1175" s="219" t="s">
        <v>120</v>
      </c>
    </row>
    <row r="1176" spans="1:7" s="1088" customFormat="1" ht="14.25" x14ac:dyDescent="0.2">
      <c r="A1176" s="1322"/>
      <c r="B1176" s="1338"/>
      <c r="C1176" s="220"/>
      <c r="D1176" s="221"/>
      <c r="E1176" s="222">
        <v>1</v>
      </c>
      <c r="F1176" s="223">
        <v>0</v>
      </c>
      <c r="G1176" s="224">
        <f>D1176*(E1176+F1176)</f>
        <v>0</v>
      </c>
    </row>
    <row r="1177" spans="1:7" s="1088" customFormat="1" ht="15" customHeight="1" x14ac:dyDescent="0.2">
      <c r="A1177" s="1280"/>
      <c r="B1177" s="1281"/>
      <c r="C1177" s="225"/>
      <c r="D1177" s="221"/>
      <c r="E1177" s="226"/>
      <c r="F1177" s="227"/>
      <c r="G1177" s="228">
        <f>D1177*E1177</f>
        <v>0</v>
      </c>
    </row>
    <row r="1178" spans="1:7" s="1088" customFormat="1" ht="14.25" x14ac:dyDescent="0.2">
      <c r="A1178" s="1280"/>
      <c r="B1178" s="1281"/>
      <c r="C1178" s="229"/>
      <c r="D1178" s="221"/>
      <c r="E1178" s="226"/>
      <c r="F1178" s="227"/>
      <c r="G1178" s="228">
        <f>D1178*E1178</f>
        <v>0</v>
      </c>
    </row>
    <row r="1179" spans="1:7" s="1088" customFormat="1" ht="14.25" x14ac:dyDescent="0.2">
      <c r="A1179" s="1280"/>
      <c r="B1179" s="1281"/>
      <c r="C1179" s="225"/>
      <c r="D1179" s="221"/>
      <c r="E1179" s="226"/>
      <c r="F1179" s="227"/>
      <c r="G1179" s="228">
        <f>D1179*E1179</f>
        <v>0</v>
      </c>
    </row>
    <row r="1180" spans="1:7" s="1088" customFormat="1" ht="14.25" x14ac:dyDescent="0.2">
      <c r="A1180" s="1069"/>
      <c r="B1180" s="1070"/>
      <c r="C1180" s="230"/>
      <c r="D1180" s="231"/>
      <c r="E1180" s="232"/>
      <c r="F1180" s="233"/>
      <c r="G1180" s="228">
        <f>D1180*E1180</f>
        <v>0</v>
      </c>
    </row>
    <row r="1181" spans="1:7" s="1088" customFormat="1" ht="15" x14ac:dyDescent="0.25">
      <c r="A1181" s="1073"/>
      <c r="B1181" s="210"/>
      <c r="C1181" s="211"/>
      <c r="D1181" s="212"/>
      <c r="E1181" s="212"/>
      <c r="F1181" s="234" t="s">
        <v>121</v>
      </c>
      <c r="G1181" s="231">
        <f>+SUM(G1176:G1180)</f>
        <v>0</v>
      </c>
    </row>
    <row r="1182" spans="1:7" s="1088" customFormat="1" ht="14.25" x14ac:dyDescent="0.2">
      <c r="A1182" s="209"/>
      <c r="B1182" s="212"/>
      <c r="C1182" s="211" t="s">
        <v>123</v>
      </c>
      <c r="D1182" s="212"/>
      <c r="E1182" s="213"/>
      <c r="F1182" s="214"/>
      <c r="G1182" s="215"/>
    </row>
    <row r="1183" spans="1:7" s="1088" customFormat="1" ht="15" x14ac:dyDescent="0.25">
      <c r="A1183" s="216" t="s">
        <v>122</v>
      </c>
      <c r="B1183" s="212"/>
      <c r="C1183" s="211" t="s">
        <v>123</v>
      </c>
      <c r="D1183" s="212"/>
      <c r="E1183" s="213"/>
      <c r="F1183" s="214"/>
      <c r="G1183" s="215"/>
    </row>
    <row r="1184" spans="1:7" s="1088" customFormat="1" ht="14.25" x14ac:dyDescent="0.2">
      <c r="A1184" s="209"/>
      <c r="B1184" s="212"/>
      <c r="C1184" s="211"/>
      <c r="D1184" s="212"/>
      <c r="E1184" s="213"/>
      <c r="F1184" s="214"/>
      <c r="G1184" s="215"/>
    </row>
    <row r="1185" spans="1:7" s="1088" customFormat="1" ht="15" x14ac:dyDescent="0.25">
      <c r="A1185" s="1071" t="s">
        <v>116</v>
      </c>
      <c r="B1185" s="1072"/>
      <c r="C1185" s="235" t="s">
        <v>117</v>
      </c>
      <c r="D1185" s="236" t="s">
        <v>124</v>
      </c>
      <c r="E1185" s="236" t="s">
        <v>125</v>
      </c>
      <c r="F1185" s="237" t="s">
        <v>126</v>
      </c>
      <c r="G1185" s="238" t="s">
        <v>120</v>
      </c>
    </row>
    <row r="1186" spans="1:7" s="1088" customFormat="1" ht="28.5" x14ac:dyDescent="0.2">
      <c r="A1186" s="1066" t="s">
        <v>127</v>
      </c>
      <c r="B1186" s="1067"/>
      <c r="C1186" s="239" t="s">
        <v>128</v>
      </c>
      <c r="D1186" s="240"/>
      <c r="E1186" s="241"/>
      <c r="F1186" s="222"/>
      <c r="G1186" s="242">
        <f>G1200*0.05</f>
        <v>692.7998</v>
      </c>
    </row>
    <row r="1187" spans="1:7" s="1088" customFormat="1" ht="14.25" x14ac:dyDescent="0.2">
      <c r="A1187" s="1073" t="s">
        <v>174</v>
      </c>
      <c r="B1187" s="1074"/>
      <c r="C1187" s="243">
        <v>1</v>
      </c>
      <c r="D1187" s="221">
        <v>450000</v>
      </c>
      <c r="E1187" s="244"/>
      <c r="F1187" s="222">
        <v>30</v>
      </c>
      <c r="G1187" s="224">
        <f>D1187/F1187</f>
        <v>15000</v>
      </c>
    </row>
    <row r="1188" spans="1:7" s="1088" customFormat="1" ht="14.25" x14ac:dyDescent="0.2">
      <c r="A1188" s="1073"/>
      <c r="B1188" s="1074"/>
      <c r="C1188" s="243"/>
      <c r="D1188" s="221"/>
      <c r="E1188" s="244"/>
      <c r="F1188" s="222"/>
      <c r="G1188" s="224"/>
    </row>
    <row r="1189" spans="1:7" s="1088" customFormat="1" ht="14.25" x14ac:dyDescent="0.2">
      <c r="A1189" s="209"/>
      <c r="B1189" s="245"/>
      <c r="C1189" s="246"/>
      <c r="D1189" s="221"/>
      <c r="E1189" s="247"/>
      <c r="F1189" s="222"/>
      <c r="G1189" s="248"/>
    </row>
    <row r="1190" spans="1:7" s="1088" customFormat="1" ht="14.25" x14ac:dyDescent="0.2">
      <c r="A1190" s="249"/>
      <c r="B1190" s="250"/>
      <c r="C1190" s="251"/>
      <c r="D1190" s="252"/>
      <c r="E1190" s="253"/>
      <c r="F1190" s="254"/>
      <c r="G1190" s="255"/>
    </row>
    <row r="1191" spans="1:7" s="1088" customFormat="1" ht="15" x14ac:dyDescent="0.25">
      <c r="A1191" s="209"/>
      <c r="B1191" s="214"/>
      <c r="C1191" s="256"/>
      <c r="D1191" s="214"/>
      <c r="E1191" s="212"/>
      <c r="F1191" s="257" t="s">
        <v>121</v>
      </c>
      <c r="G1191" s="258">
        <f>+SUM(G1186:G1190)</f>
        <v>15692.799800000001</v>
      </c>
    </row>
    <row r="1192" spans="1:7" s="1088" customFormat="1" ht="14.25" x14ac:dyDescent="0.2">
      <c r="A1192" s="209"/>
      <c r="B1192" s="212"/>
      <c r="C1192" s="211"/>
      <c r="D1192" s="212"/>
      <c r="E1192" s="213"/>
      <c r="F1192" s="212"/>
      <c r="G1192" s="215"/>
    </row>
    <row r="1193" spans="1:7" s="1088" customFormat="1" ht="15" x14ac:dyDescent="0.25">
      <c r="A1193" s="216" t="s">
        <v>130</v>
      </c>
      <c r="B1193" s="212"/>
      <c r="C1193" s="211"/>
      <c r="D1193" s="212"/>
      <c r="E1193" s="213"/>
      <c r="F1193" s="214"/>
      <c r="G1193" s="215"/>
    </row>
    <row r="1194" spans="1:7" s="1088" customFormat="1" ht="14.25" x14ac:dyDescent="0.2">
      <c r="A1194" s="209"/>
      <c r="B1194" s="212"/>
      <c r="C1194" s="211"/>
      <c r="D1194" s="212"/>
      <c r="E1194" s="213"/>
      <c r="F1194" s="214"/>
      <c r="G1194" s="215"/>
    </row>
    <row r="1195" spans="1:7" s="1088" customFormat="1" ht="15" x14ac:dyDescent="0.25">
      <c r="A1195" s="1071" t="s">
        <v>116</v>
      </c>
      <c r="B1195" s="1072"/>
      <c r="C1195" s="236" t="s">
        <v>131</v>
      </c>
      <c r="D1195" s="235" t="s">
        <v>132</v>
      </c>
      <c r="E1195" s="236" t="s">
        <v>133</v>
      </c>
      <c r="F1195" s="237" t="s">
        <v>126</v>
      </c>
      <c r="G1195" s="238" t="s">
        <v>134</v>
      </c>
    </row>
    <row r="1196" spans="1:7" s="1088" customFormat="1" ht="14.25" x14ac:dyDescent="0.2">
      <c r="A1196" s="209" t="s">
        <v>10</v>
      </c>
      <c r="B1196" s="259"/>
      <c r="C1196" s="260">
        <f>M2</f>
        <v>22981.8</v>
      </c>
      <c r="D1196" s="261">
        <f>N2</f>
        <v>1.76</v>
      </c>
      <c r="E1196" s="262">
        <f>D1196*C1196</f>
        <v>40447.968000000001</v>
      </c>
      <c r="F1196" s="274">
        <f>1/8</f>
        <v>0.125</v>
      </c>
      <c r="G1196" s="264">
        <f>F1196*E1196</f>
        <v>5055.9960000000001</v>
      </c>
    </row>
    <row r="1197" spans="1:7" s="1088" customFormat="1" ht="14.25" x14ac:dyDescent="0.2">
      <c r="A1197" s="209" t="s">
        <v>140</v>
      </c>
      <c r="B1197" s="259"/>
      <c r="C1197" s="260">
        <f>M3</f>
        <v>40000</v>
      </c>
      <c r="D1197" s="261">
        <f>N3</f>
        <v>1.76</v>
      </c>
      <c r="E1197" s="262">
        <f>D1197*C1197</f>
        <v>70400</v>
      </c>
      <c r="F1197" s="274">
        <f>1/8</f>
        <v>0.125</v>
      </c>
      <c r="G1197" s="264">
        <f>F1197*E1197</f>
        <v>8800</v>
      </c>
    </row>
    <row r="1198" spans="1:7" s="1088" customFormat="1" ht="14.25" x14ac:dyDescent="0.2">
      <c r="A1198" s="209"/>
      <c r="B1198" s="245"/>
      <c r="C1198" s="265"/>
      <c r="D1198" s="246"/>
      <c r="E1198" s="265"/>
      <c r="F1198" s="266"/>
      <c r="G1198" s="267"/>
    </row>
    <row r="1199" spans="1:7" s="1088" customFormat="1" ht="14.25" x14ac:dyDescent="0.2">
      <c r="A1199" s="249"/>
      <c r="B1199" s="250"/>
      <c r="C1199" s="252"/>
      <c r="D1199" s="251"/>
      <c r="E1199" s="252"/>
      <c r="F1199" s="254"/>
      <c r="G1199" s="268"/>
    </row>
    <row r="1200" spans="1:7" s="1088" customFormat="1" ht="15" x14ac:dyDescent="0.25">
      <c r="A1200" s="209"/>
      <c r="B1200" s="212"/>
      <c r="C1200" s="211"/>
      <c r="D1200" s="212"/>
      <c r="E1200" s="269"/>
      <c r="F1200" s="269" t="s">
        <v>121</v>
      </c>
      <c r="G1200" s="270">
        <f>+SUM(G1196:G1199)</f>
        <v>13855.995999999999</v>
      </c>
    </row>
    <row r="1201" spans="1:7" s="1088" customFormat="1" ht="15" x14ac:dyDescent="0.25">
      <c r="A1201" s="209"/>
      <c r="B1201" s="212"/>
      <c r="C1201" s="211"/>
      <c r="D1201" s="212"/>
      <c r="E1201" s="257"/>
      <c r="F1201" s="257"/>
      <c r="G1201" s="271"/>
    </row>
    <row r="1202" spans="1:7" s="1088" customFormat="1" ht="15" x14ac:dyDescent="0.25">
      <c r="A1202" s="216" t="s">
        <v>135</v>
      </c>
      <c r="B1202" s="212"/>
      <c r="C1202" s="211"/>
      <c r="D1202" s="212"/>
      <c r="E1202" s="213"/>
      <c r="F1202" s="214"/>
      <c r="G1202" s="215"/>
    </row>
    <row r="1203" spans="1:7" s="1088" customFormat="1" ht="14.25" x14ac:dyDescent="0.2">
      <c r="A1203" s="209"/>
      <c r="B1203" s="212"/>
      <c r="C1203" s="211"/>
      <c r="D1203" s="212"/>
      <c r="E1203" s="213"/>
      <c r="F1203" s="214"/>
      <c r="G1203" s="215"/>
    </row>
    <row r="1204" spans="1:7" s="1088" customFormat="1" ht="15" x14ac:dyDescent="0.25">
      <c r="A1204" s="1071" t="s">
        <v>116</v>
      </c>
      <c r="B1204" s="1072"/>
      <c r="C1204" s="236" t="s">
        <v>117</v>
      </c>
      <c r="D1204" s="235" t="s">
        <v>136</v>
      </c>
      <c r="E1204" s="236" t="s">
        <v>124</v>
      </c>
      <c r="F1204" s="237" t="s">
        <v>126</v>
      </c>
      <c r="G1204" s="238" t="s">
        <v>134</v>
      </c>
    </row>
    <row r="1205" spans="1:7" s="1088" customFormat="1" ht="14.25" x14ac:dyDescent="0.2">
      <c r="A1205" s="58" t="s">
        <v>175</v>
      </c>
      <c r="B1205" s="272"/>
      <c r="C1205" s="273" t="s">
        <v>79</v>
      </c>
      <c r="D1205" s="261"/>
      <c r="E1205" s="262">
        <f>20000*1.7*2</f>
        <v>68000</v>
      </c>
      <c r="F1205" s="274">
        <f>1/30</f>
        <v>3.3333333333333333E-2</v>
      </c>
      <c r="G1205" s="264">
        <f>F1205*E1205</f>
        <v>2266.6666666666665</v>
      </c>
    </row>
    <row r="1206" spans="1:7" s="1088" customFormat="1" ht="14.25" x14ac:dyDescent="0.2">
      <c r="A1206" s="209"/>
      <c r="B1206" s="275"/>
      <c r="C1206" s="260"/>
      <c r="D1206" s="261"/>
      <c r="E1206" s="276"/>
      <c r="F1206" s="222"/>
      <c r="G1206" s="224"/>
    </row>
    <row r="1207" spans="1:7" s="1088" customFormat="1" ht="14.25" x14ac:dyDescent="0.2">
      <c r="A1207" s="209"/>
      <c r="B1207" s="259"/>
      <c r="C1207" s="260"/>
      <c r="D1207" s="261"/>
      <c r="E1207" s="276"/>
      <c r="F1207" s="222"/>
      <c r="G1207" s="224"/>
    </row>
    <row r="1208" spans="1:7" s="1088" customFormat="1" ht="14.25" x14ac:dyDescent="0.2">
      <c r="A1208" s="209"/>
      <c r="B1208" s="259"/>
      <c r="C1208" s="260"/>
      <c r="D1208" s="261"/>
      <c r="E1208" s="276"/>
      <c r="F1208" s="222"/>
      <c r="G1208" s="224"/>
    </row>
    <row r="1209" spans="1:7" s="1088" customFormat="1" ht="14.25" x14ac:dyDescent="0.2">
      <c r="A1209" s="209"/>
      <c r="B1209" s="245"/>
      <c r="C1209" s="265"/>
      <c r="D1209" s="246"/>
      <c r="E1209" s="265"/>
      <c r="F1209" s="266"/>
      <c r="G1209" s="267"/>
    </row>
    <row r="1210" spans="1:7" s="1088" customFormat="1" ht="14.25" x14ac:dyDescent="0.2">
      <c r="A1210" s="249"/>
      <c r="B1210" s="250"/>
      <c r="C1210" s="252"/>
      <c r="D1210" s="251"/>
      <c r="E1210" s="252"/>
      <c r="F1210" s="254"/>
      <c r="G1210" s="268"/>
    </row>
    <row r="1211" spans="1:7" s="1088" customFormat="1" ht="15" x14ac:dyDescent="0.25">
      <c r="A1211" s="209"/>
      <c r="B1211" s="212"/>
      <c r="C1211" s="211"/>
      <c r="D1211" s="212"/>
      <c r="E1211" s="269"/>
      <c r="F1211" s="269" t="s">
        <v>121</v>
      </c>
      <c r="G1211" s="270">
        <f>+SUM(G1205:G1210)</f>
        <v>2266.6666666666665</v>
      </c>
    </row>
    <row r="1212" spans="1:7" s="1088" customFormat="1" ht="14.25" x14ac:dyDescent="0.2">
      <c r="A1212" s="209"/>
      <c r="B1212" s="212"/>
      <c r="C1212" s="211"/>
      <c r="D1212" s="212"/>
      <c r="E1212" s="213"/>
      <c r="F1212" s="214"/>
      <c r="G1212" s="271"/>
    </row>
    <row r="1213" spans="1:7" s="1088" customFormat="1" ht="15" x14ac:dyDescent="0.25">
      <c r="A1213" s="277"/>
      <c r="B1213" s="278"/>
      <c r="C1213" s="278"/>
      <c r="D1213" s="278"/>
      <c r="E1213" s="279"/>
      <c r="F1213" s="280" t="s">
        <v>137</v>
      </c>
      <c r="G1213" s="283">
        <f>+ROUND(G1181+G1191+G1200+G1211,0)</f>
        <v>31815</v>
      </c>
    </row>
    <row r="1214" spans="1:7" s="1088" customFormat="1" ht="14.25" x14ac:dyDescent="0.2">
      <c r="A1214" s="277"/>
      <c r="B1214" s="278"/>
      <c r="C1214" s="278"/>
      <c r="D1214" s="278"/>
      <c r="E1214" s="279"/>
      <c r="F1214" s="279"/>
      <c r="G1214" s="279"/>
    </row>
    <row r="1215" spans="1:7" s="1088" customFormat="1" ht="15" x14ac:dyDescent="0.25">
      <c r="A1215" s="145" t="s">
        <v>160</v>
      </c>
      <c r="B1215" s="1262" t="s">
        <v>161</v>
      </c>
      <c r="C1215" s="1263"/>
      <c r="D1215" s="1263"/>
      <c r="E1215" s="1263"/>
      <c r="F1215" s="1264"/>
      <c r="G1215" s="146" t="s">
        <v>2</v>
      </c>
    </row>
    <row r="1216" spans="1:7" s="1088" customFormat="1" ht="15" x14ac:dyDescent="0.25">
      <c r="A1216" s="285">
        <f>'FORMATO PROPUESTA ECONÓMICA'!A46</f>
        <v>6.14</v>
      </c>
      <c r="B1216" s="1265" t="str">
        <f>'FORMATO PROPUESTA ECONÓMICA'!B46</f>
        <v>Codo PEAD PN10 d= 63mmx90° Termofusion</v>
      </c>
      <c r="C1216" s="1266"/>
      <c r="D1216" s="1266"/>
      <c r="E1216" s="1266"/>
      <c r="F1216" s="1267"/>
      <c r="G1216" s="187" t="str">
        <f>'FORMATO PROPUESTA ECONÓMICA'!C46</f>
        <v>und</v>
      </c>
    </row>
    <row r="1217" spans="1:7" s="1088" customFormat="1" ht="14.25" x14ac:dyDescent="0.2">
      <c r="A1217" s="209"/>
      <c r="B1217" s="210"/>
      <c r="C1217" s="211"/>
      <c r="D1217" s="212"/>
      <c r="E1217" s="213"/>
      <c r="F1217" s="214"/>
      <c r="G1217" s="215"/>
    </row>
    <row r="1218" spans="1:7" s="1088" customFormat="1" ht="15" x14ac:dyDescent="0.25">
      <c r="A1218" s="216" t="s">
        <v>115</v>
      </c>
      <c r="B1218" s="212"/>
      <c r="C1218" s="211"/>
      <c r="D1218" s="212"/>
      <c r="E1218" s="213"/>
      <c r="F1218" s="214"/>
      <c r="G1218" s="215"/>
    </row>
    <row r="1219" spans="1:7" s="1088" customFormat="1" ht="14.25" x14ac:dyDescent="0.2">
      <c r="A1219" s="209"/>
      <c r="B1219" s="212"/>
      <c r="C1219" s="211"/>
      <c r="D1219" s="212"/>
      <c r="E1219" s="213"/>
      <c r="F1219" s="214"/>
      <c r="G1219" s="215"/>
    </row>
    <row r="1220" spans="1:7" s="1088" customFormat="1" ht="15" x14ac:dyDescent="0.25">
      <c r="A1220" s="1262" t="s">
        <v>116</v>
      </c>
      <c r="B1220" s="1264"/>
      <c r="C1220" s="217" t="s">
        <v>117</v>
      </c>
      <c r="D1220" s="1075" t="s">
        <v>118</v>
      </c>
      <c r="E1220" s="218" t="s">
        <v>39</v>
      </c>
      <c r="F1220" s="1075" t="s">
        <v>119</v>
      </c>
      <c r="G1220" s="219" t="s">
        <v>120</v>
      </c>
    </row>
    <row r="1221" spans="1:7" s="1088" customFormat="1" ht="14.25" x14ac:dyDescent="0.2">
      <c r="A1221" s="1322"/>
      <c r="B1221" s="1338"/>
      <c r="C1221" s="220"/>
      <c r="D1221" s="221"/>
      <c r="E1221" s="222">
        <v>1</v>
      </c>
      <c r="F1221" s="223">
        <v>0</v>
      </c>
      <c r="G1221" s="224">
        <f>D1221*(E1221+F1221)</f>
        <v>0</v>
      </c>
    </row>
    <row r="1222" spans="1:7" s="1088" customFormat="1" ht="15" customHeight="1" x14ac:dyDescent="0.2">
      <c r="A1222" s="1280"/>
      <c r="B1222" s="1281"/>
      <c r="C1222" s="225"/>
      <c r="D1222" s="221"/>
      <c r="E1222" s="226"/>
      <c r="F1222" s="227"/>
      <c r="G1222" s="228">
        <f>D1222*E1222</f>
        <v>0</v>
      </c>
    </row>
    <row r="1223" spans="1:7" s="1088" customFormat="1" ht="14.25" x14ac:dyDescent="0.2">
      <c r="A1223" s="1280"/>
      <c r="B1223" s="1281"/>
      <c r="C1223" s="229"/>
      <c r="D1223" s="221"/>
      <c r="E1223" s="226"/>
      <c r="F1223" s="227"/>
      <c r="G1223" s="228">
        <f>D1223*E1223</f>
        <v>0</v>
      </c>
    </row>
    <row r="1224" spans="1:7" s="1088" customFormat="1" ht="14.25" x14ac:dyDescent="0.2">
      <c r="A1224" s="1280"/>
      <c r="B1224" s="1281"/>
      <c r="C1224" s="225"/>
      <c r="D1224" s="221"/>
      <c r="E1224" s="226"/>
      <c r="F1224" s="227"/>
      <c r="G1224" s="228">
        <f>D1224*E1224</f>
        <v>0</v>
      </c>
    </row>
    <row r="1225" spans="1:7" s="1088" customFormat="1" ht="14.25" x14ac:dyDescent="0.2">
      <c r="A1225" s="1069"/>
      <c r="B1225" s="1070"/>
      <c r="C1225" s="230"/>
      <c r="D1225" s="231"/>
      <c r="E1225" s="232"/>
      <c r="F1225" s="233"/>
      <c r="G1225" s="228">
        <f>D1225*E1225</f>
        <v>0</v>
      </c>
    </row>
    <row r="1226" spans="1:7" s="1088" customFormat="1" ht="15" x14ac:dyDescent="0.25">
      <c r="A1226" s="1073"/>
      <c r="B1226" s="210"/>
      <c r="C1226" s="211"/>
      <c r="D1226" s="212"/>
      <c r="E1226" s="212"/>
      <c r="F1226" s="234" t="s">
        <v>121</v>
      </c>
      <c r="G1226" s="231">
        <f>+SUM(G1221:G1225)</f>
        <v>0</v>
      </c>
    </row>
    <row r="1227" spans="1:7" s="1088" customFormat="1" ht="14.25" x14ac:dyDescent="0.2">
      <c r="A1227" s="209"/>
      <c r="B1227" s="212"/>
      <c r="C1227" s="211" t="s">
        <v>123</v>
      </c>
      <c r="D1227" s="212"/>
      <c r="E1227" s="213"/>
      <c r="F1227" s="214"/>
      <c r="G1227" s="215"/>
    </row>
    <row r="1228" spans="1:7" s="1088" customFormat="1" ht="15" x14ac:dyDescent="0.25">
      <c r="A1228" s="216" t="s">
        <v>122</v>
      </c>
      <c r="B1228" s="212"/>
      <c r="C1228" s="211" t="s">
        <v>123</v>
      </c>
      <c r="D1228" s="212"/>
      <c r="E1228" s="213"/>
      <c r="F1228" s="214"/>
      <c r="G1228" s="215"/>
    </row>
    <row r="1229" spans="1:7" s="1088" customFormat="1" ht="14.25" x14ac:dyDescent="0.2">
      <c r="A1229" s="209"/>
      <c r="B1229" s="212"/>
      <c r="C1229" s="211"/>
      <c r="D1229" s="212"/>
      <c r="E1229" s="213"/>
      <c r="F1229" s="214"/>
      <c r="G1229" s="215"/>
    </row>
    <row r="1230" spans="1:7" s="1088" customFormat="1" ht="15" x14ac:dyDescent="0.25">
      <c r="A1230" s="1071" t="s">
        <v>116</v>
      </c>
      <c r="B1230" s="1072"/>
      <c r="C1230" s="235" t="s">
        <v>117</v>
      </c>
      <c r="D1230" s="236" t="s">
        <v>124</v>
      </c>
      <c r="E1230" s="236" t="s">
        <v>125</v>
      </c>
      <c r="F1230" s="237" t="s">
        <v>126</v>
      </c>
      <c r="G1230" s="238" t="s">
        <v>120</v>
      </c>
    </row>
    <row r="1231" spans="1:7" s="1088" customFormat="1" ht="28.5" x14ac:dyDescent="0.2">
      <c r="A1231" s="1066" t="s">
        <v>127</v>
      </c>
      <c r="B1231" s="1067"/>
      <c r="C1231" s="239" t="s">
        <v>128</v>
      </c>
      <c r="D1231" s="240"/>
      <c r="E1231" s="241"/>
      <c r="F1231" s="222"/>
      <c r="G1231" s="242">
        <f>G1245*0.05</f>
        <v>692.7998</v>
      </c>
    </row>
    <row r="1232" spans="1:7" s="1088" customFormat="1" ht="14.25" x14ac:dyDescent="0.2">
      <c r="A1232" s="1073" t="s">
        <v>174</v>
      </c>
      <c r="B1232" s="1074"/>
      <c r="C1232" s="243">
        <v>1</v>
      </c>
      <c r="D1232" s="221">
        <v>450000</v>
      </c>
      <c r="E1232" s="244"/>
      <c r="F1232" s="222">
        <v>60</v>
      </c>
      <c r="G1232" s="224">
        <f>D1232/F1232</f>
        <v>7500</v>
      </c>
    </row>
    <row r="1233" spans="1:7" s="1088" customFormat="1" ht="14.25" x14ac:dyDescent="0.2">
      <c r="A1233" s="1073"/>
      <c r="B1233" s="1074"/>
      <c r="C1233" s="243"/>
      <c r="D1233" s="221"/>
      <c r="E1233" s="244"/>
      <c r="F1233" s="222"/>
      <c r="G1233" s="224"/>
    </row>
    <row r="1234" spans="1:7" s="1088" customFormat="1" ht="14.25" x14ac:dyDescent="0.2">
      <c r="A1234" s="209"/>
      <c r="B1234" s="245"/>
      <c r="C1234" s="246"/>
      <c r="D1234" s="221"/>
      <c r="E1234" s="247"/>
      <c r="F1234" s="222"/>
      <c r="G1234" s="248"/>
    </row>
    <row r="1235" spans="1:7" s="1088" customFormat="1" ht="14.25" x14ac:dyDescent="0.2">
      <c r="A1235" s="249"/>
      <c r="B1235" s="250"/>
      <c r="C1235" s="251"/>
      <c r="D1235" s="252"/>
      <c r="E1235" s="253"/>
      <c r="F1235" s="254"/>
      <c r="G1235" s="255"/>
    </row>
    <row r="1236" spans="1:7" s="1088" customFormat="1" ht="15" x14ac:dyDescent="0.25">
      <c r="A1236" s="209"/>
      <c r="B1236" s="214"/>
      <c r="C1236" s="256"/>
      <c r="D1236" s="214"/>
      <c r="E1236" s="212"/>
      <c r="F1236" s="257" t="s">
        <v>121</v>
      </c>
      <c r="G1236" s="258">
        <f>+SUM(G1231:G1235)</f>
        <v>8192.7998000000007</v>
      </c>
    </row>
    <row r="1237" spans="1:7" s="1088" customFormat="1" ht="14.25" x14ac:dyDescent="0.2">
      <c r="A1237" s="209"/>
      <c r="B1237" s="212"/>
      <c r="C1237" s="211"/>
      <c r="D1237" s="212"/>
      <c r="E1237" s="213"/>
      <c r="F1237" s="212"/>
      <c r="G1237" s="215"/>
    </row>
    <row r="1238" spans="1:7" s="1088" customFormat="1" ht="15" x14ac:dyDescent="0.25">
      <c r="A1238" s="216" t="s">
        <v>130</v>
      </c>
      <c r="B1238" s="212"/>
      <c r="C1238" s="211"/>
      <c r="D1238" s="212"/>
      <c r="E1238" s="213"/>
      <c r="F1238" s="214"/>
      <c r="G1238" s="215"/>
    </row>
    <row r="1239" spans="1:7" s="1088" customFormat="1" ht="14.25" x14ac:dyDescent="0.2">
      <c r="A1239" s="209"/>
      <c r="B1239" s="212"/>
      <c r="C1239" s="211"/>
      <c r="D1239" s="212"/>
      <c r="E1239" s="213"/>
      <c r="F1239" s="214"/>
      <c r="G1239" s="215"/>
    </row>
    <row r="1240" spans="1:7" s="1088" customFormat="1" ht="15" x14ac:dyDescent="0.25">
      <c r="A1240" s="1071" t="s">
        <v>116</v>
      </c>
      <c r="B1240" s="1072"/>
      <c r="C1240" s="236" t="s">
        <v>131</v>
      </c>
      <c r="D1240" s="235" t="s">
        <v>132</v>
      </c>
      <c r="E1240" s="236" t="s">
        <v>133</v>
      </c>
      <c r="F1240" s="237" t="s">
        <v>126</v>
      </c>
      <c r="G1240" s="238" t="s">
        <v>134</v>
      </c>
    </row>
    <row r="1241" spans="1:7" s="1088" customFormat="1" ht="14.25" x14ac:dyDescent="0.2">
      <c r="A1241" s="209" t="s">
        <v>10</v>
      </c>
      <c r="B1241" s="259"/>
      <c r="C1241" s="260">
        <f>M2</f>
        <v>22981.8</v>
      </c>
      <c r="D1241" s="261">
        <f>N2</f>
        <v>1.76</v>
      </c>
      <c r="E1241" s="262">
        <f>D1241*C1241</f>
        <v>40447.968000000001</v>
      </c>
      <c r="F1241" s="274">
        <f>1/8</f>
        <v>0.125</v>
      </c>
      <c r="G1241" s="264">
        <f>F1241*E1241</f>
        <v>5055.9960000000001</v>
      </c>
    </row>
    <row r="1242" spans="1:7" s="1088" customFormat="1" ht="14.25" x14ac:dyDescent="0.2">
      <c r="A1242" s="209" t="s">
        <v>140</v>
      </c>
      <c r="B1242" s="259"/>
      <c r="C1242" s="260">
        <f>M3</f>
        <v>40000</v>
      </c>
      <c r="D1242" s="261">
        <f>N3</f>
        <v>1.76</v>
      </c>
      <c r="E1242" s="262">
        <f>D1242*C1242</f>
        <v>70400</v>
      </c>
      <c r="F1242" s="274">
        <f>1/8</f>
        <v>0.125</v>
      </c>
      <c r="G1242" s="264">
        <f>F1242*E1242</f>
        <v>8800</v>
      </c>
    </row>
    <row r="1243" spans="1:7" s="1088" customFormat="1" ht="14.25" x14ac:dyDescent="0.2">
      <c r="A1243" s="209"/>
      <c r="B1243" s="245"/>
      <c r="C1243" s="265"/>
      <c r="D1243" s="246"/>
      <c r="E1243" s="265"/>
      <c r="F1243" s="266"/>
      <c r="G1243" s="267"/>
    </row>
    <row r="1244" spans="1:7" s="1088" customFormat="1" ht="14.25" x14ac:dyDescent="0.2">
      <c r="A1244" s="249"/>
      <c r="B1244" s="250"/>
      <c r="C1244" s="252"/>
      <c r="D1244" s="251"/>
      <c r="E1244" s="252"/>
      <c r="F1244" s="254"/>
      <c r="G1244" s="268"/>
    </row>
    <row r="1245" spans="1:7" s="1088" customFormat="1" ht="15" x14ac:dyDescent="0.25">
      <c r="A1245" s="209"/>
      <c r="B1245" s="212"/>
      <c r="C1245" s="211"/>
      <c r="D1245" s="212"/>
      <c r="E1245" s="269"/>
      <c r="F1245" s="269" t="s">
        <v>121</v>
      </c>
      <c r="G1245" s="270">
        <f>+SUM(G1241:G1244)</f>
        <v>13855.995999999999</v>
      </c>
    </row>
    <row r="1246" spans="1:7" s="1088" customFormat="1" ht="15" x14ac:dyDescent="0.25">
      <c r="A1246" s="209"/>
      <c r="B1246" s="212"/>
      <c r="C1246" s="211"/>
      <c r="D1246" s="212"/>
      <c r="E1246" s="257"/>
      <c r="F1246" s="257"/>
      <c r="G1246" s="271"/>
    </row>
    <row r="1247" spans="1:7" s="1088" customFormat="1" ht="15" x14ac:dyDescent="0.25">
      <c r="A1247" s="216" t="s">
        <v>135</v>
      </c>
      <c r="B1247" s="212"/>
      <c r="C1247" s="211"/>
      <c r="D1247" s="212"/>
      <c r="E1247" s="213"/>
      <c r="F1247" s="214"/>
      <c r="G1247" s="215"/>
    </row>
    <row r="1248" spans="1:7" s="1088" customFormat="1" ht="14.25" x14ac:dyDescent="0.2">
      <c r="A1248" s="209"/>
      <c r="B1248" s="212"/>
      <c r="C1248" s="211"/>
      <c r="D1248" s="212"/>
      <c r="E1248" s="213"/>
      <c r="F1248" s="214"/>
      <c r="G1248" s="215"/>
    </row>
    <row r="1249" spans="1:8" s="1088" customFormat="1" ht="15" x14ac:dyDescent="0.25">
      <c r="A1249" s="1071" t="s">
        <v>116</v>
      </c>
      <c r="B1249" s="1072"/>
      <c r="C1249" s="236" t="s">
        <v>117</v>
      </c>
      <c r="D1249" s="235" t="s">
        <v>136</v>
      </c>
      <c r="E1249" s="236" t="s">
        <v>124</v>
      </c>
      <c r="F1249" s="237" t="s">
        <v>126</v>
      </c>
      <c r="G1249" s="238" t="s">
        <v>134</v>
      </c>
    </row>
    <row r="1250" spans="1:8" s="1088" customFormat="1" ht="14.25" x14ac:dyDescent="0.2">
      <c r="A1250" s="58" t="s">
        <v>175</v>
      </c>
      <c r="B1250" s="272"/>
      <c r="C1250" s="273" t="s">
        <v>79</v>
      </c>
      <c r="D1250" s="261"/>
      <c r="E1250" s="262">
        <f>20000*1.7*2</f>
        <v>68000</v>
      </c>
      <c r="F1250" s="274">
        <f>1/8</f>
        <v>0.125</v>
      </c>
      <c r="G1250" s="264">
        <f>F1250*E1250</f>
        <v>8500</v>
      </c>
    </row>
    <row r="1251" spans="1:8" s="1088" customFormat="1" ht="14.25" x14ac:dyDescent="0.2">
      <c r="A1251" s="209"/>
      <c r="B1251" s="275"/>
      <c r="C1251" s="260"/>
      <c r="D1251" s="261"/>
      <c r="E1251" s="276"/>
      <c r="F1251" s="222"/>
      <c r="G1251" s="224"/>
    </row>
    <row r="1252" spans="1:8" s="1088" customFormat="1" ht="14.25" x14ac:dyDescent="0.2">
      <c r="A1252" s="209"/>
      <c r="B1252" s="259"/>
      <c r="C1252" s="260"/>
      <c r="D1252" s="261"/>
      <c r="E1252" s="276"/>
      <c r="F1252" s="222"/>
      <c r="G1252" s="224"/>
    </row>
    <row r="1253" spans="1:8" s="1088" customFormat="1" ht="14.25" x14ac:dyDescent="0.2">
      <c r="A1253" s="209"/>
      <c r="B1253" s="259"/>
      <c r="C1253" s="260"/>
      <c r="D1253" s="261"/>
      <c r="E1253" s="276"/>
      <c r="F1253" s="222"/>
      <c r="G1253" s="224"/>
    </row>
    <row r="1254" spans="1:8" s="1088" customFormat="1" ht="14.25" x14ac:dyDescent="0.2">
      <c r="A1254" s="209"/>
      <c r="B1254" s="245"/>
      <c r="C1254" s="265"/>
      <c r="D1254" s="246"/>
      <c r="E1254" s="265"/>
      <c r="F1254" s="266"/>
      <c r="G1254" s="267"/>
    </row>
    <row r="1255" spans="1:8" s="1088" customFormat="1" ht="14.25" x14ac:dyDescent="0.2">
      <c r="A1255" s="249"/>
      <c r="B1255" s="250"/>
      <c r="C1255" s="252"/>
      <c r="D1255" s="251"/>
      <c r="E1255" s="252"/>
      <c r="F1255" s="254"/>
      <c r="G1255" s="268"/>
    </row>
    <row r="1256" spans="1:8" s="1088" customFormat="1" ht="15" x14ac:dyDescent="0.25">
      <c r="A1256" s="209"/>
      <c r="B1256" s="212"/>
      <c r="C1256" s="211"/>
      <c r="D1256" s="212"/>
      <c r="E1256" s="269"/>
      <c r="F1256" s="269" t="s">
        <v>121</v>
      </c>
      <c r="G1256" s="270">
        <f>+SUM(G1250:G1255)</f>
        <v>8500</v>
      </c>
    </row>
    <row r="1257" spans="1:8" s="1088" customFormat="1" ht="14.25" x14ac:dyDescent="0.2">
      <c r="A1257" s="209"/>
      <c r="B1257" s="212"/>
      <c r="C1257" s="211"/>
      <c r="D1257" s="212"/>
      <c r="E1257" s="213"/>
      <c r="F1257" s="214"/>
      <c r="G1257" s="271"/>
    </row>
    <row r="1258" spans="1:8" s="1088" customFormat="1" ht="15" x14ac:dyDescent="0.25">
      <c r="A1258" s="277"/>
      <c r="B1258" s="278"/>
      <c r="C1258" s="278"/>
      <c r="D1258" s="278"/>
      <c r="E1258" s="279"/>
      <c r="F1258" s="280" t="s">
        <v>137</v>
      </c>
      <c r="G1258" s="283">
        <f>+ROUND(G1226+G1236+G1245+G1256,0)</f>
        <v>30549</v>
      </c>
    </row>
    <row r="1259" spans="1:8" s="1088" customFormat="1" ht="14.25" x14ac:dyDescent="0.2">
      <c r="A1259" s="277"/>
      <c r="B1259" s="278"/>
      <c r="C1259" s="278"/>
      <c r="D1259" s="278"/>
      <c r="E1259" s="279"/>
      <c r="F1259" s="279"/>
      <c r="G1259" s="279"/>
      <c r="H1259" s="279"/>
    </row>
    <row r="1260" spans="1:8" s="1088" customFormat="1" ht="15" x14ac:dyDescent="0.25">
      <c r="A1260" s="145" t="s">
        <v>160</v>
      </c>
      <c r="B1260" s="1262" t="s">
        <v>161</v>
      </c>
      <c r="C1260" s="1263"/>
      <c r="D1260" s="1263"/>
      <c r="E1260" s="1263"/>
      <c r="F1260" s="1264"/>
      <c r="G1260" s="146" t="s">
        <v>2</v>
      </c>
    </row>
    <row r="1261" spans="1:8" s="1088" customFormat="1" ht="15" x14ac:dyDescent="0.25">
      <c r="A1261" s="285">
        <f>'FORMATO PROPUESTA ECONÓMICA'!A47</f>
        <v>6.15</v>
      </c>
      <c r="B1261" s="1265" t="str">
        <f>'FORMATO PROPUESTA ECONÓMICA'!B47</f>
        <v>Codo PEAD PN10 d= 90mmx90° Termofusion</v>
      </c>
      <c r="C1261" s="1266"/>
      <c r="D1261" s="1266"/>
      <c r="E1261" s="1266"/>
      <c r="F1261" s="1267"/>
      <c r="G1261" s="187" t="str">
        <f>'FORMATO PROPUESTA ECONÓMICA'!C47</f>
        <v>und</v>
      </c>
    </row>
    <row r="1262" spans="1:8" s="1088" customFormat="1" ht="14.25" x14ac:dyDescent="0.2">
      <c r="A1262" s="209"/>
      <c r="B1262" s="210"/>
      <c r="C1262" s="211"/>
      <c r="D1262" s="212"/>
      <c r="E1262" s="213"/>
      <c r="F1262" s="214"/>
      <c r="G1262" s="215"/>
    </row>
    <row r="1263" spans="1:8" s="1088" customFormat="1" ht="15" x14ac:dyDescent="0.25">
      <c r="A1263" s="216" t="s">
        <v>115</v>
      </c>
      <c r="B1263" s="212"/>
      <c r="C1263" s="211"/>
      <c r="D1263" s="212"/>
      <c r="E1263" s="213"/>
      <c r="F1263" s="214"/>
      <c r="G1263" s="215"/>
    </row>
    <row r="1264" spans="1:8" s="1088" customFormat="1" ht="14.25" x14ac:dyDescent="0.2">
      <c r="A1264" s="209"/>
      <c r="B1264" s="212"/>
      <c r="C1264" s="211"/>
      <c r="D1264" s="212"/>
      <c r="E1264" s="213"/>
      <c r="F1264" s="214"/>
      <c r="G1264" s="215"/>
    </row>
    <row r="1265" spans="1:7" s="1088" customFormat="1" ht="15" x14ac:dyDescent="0.25">
      <c r="A1265" s="1262" t="s">
        <v>116</v>
      </c>
      <c r="B1265" s="1264"/>
      <c r="C1265" s="217" t="s">
        <v>117</v>
      </c>
      <c r="D1265" s="1075" t="s">
        <v>118</v>
      </c>
      <c r="E1265" s="218" t="s">
        <v>39</v>
      </c>
      <c r="F1265" s="1075" t="s">
        <v>119</v>
      </c>
      <c r="G1265" s="219" t="s">
        <v>120</v>
      </c>
    </row>
    <row r="1266" spans="1:7" s="1088" customFormat="1" ht="14.25" x14ac:dyDescent="0.2">
      <c r="A1266" s="1322"/>
      <c r="B1266" s="1338"/>
      <c r="C1266" s="220"/>
      <c r="D1266" s="221"/>
      <c r="E1266" s="222">
        <v>1</v>
      </c>
      <c r="F1266" s="223">
        <v>0</v>
      </c>
      <c r="G1266" s="224">
        <f>D1266*(E1266+F1266)</f>
        <v>0</v>
      </c>
    </row>
    <row r="1267" spans="1:7" s="1088" customFormat="1" ht="15" customHeight="1" x14ac:dyDescent="0.2">
      <c r="A1267" s="1280"/>
      <c r="B1267" s="1281"/>
      <c r="C1267" s="225"/>
      <c r="D1267" s="221"/>
      <c r="E1267" s="226"/>
      <c r="F1267" s="227"/>
      <c r="G1267" s="228">
        <f>D1267*E1267</f>
        <v>0</v>
      </c>
    </row>
    <row r="1268" spans="1:7" s="1088" customFormat="1" ht="14.25" x14ac:dyDescent="0.2">
      <c r="A1268" s="1280"/>
      <c r="B1268" s="1281"/>
      <c r="C1268" s="229"/>
      <c r="D1268" s="221"/>
      <c r="E1268" s="226"/>
      <c r="F1268" s="227"/>
      <c r="G1268" s="228">
        <f>D1268*E1268</f>
        <v>0</v>
      </c>
    </row>
    <row r="1269" spans="1:7" s="1088" customFormat="1" ht="14.25" x14ac:dyDescent="0.2">
      <c r="A1269" s="1280"/>
      <c r="B1269" s="1281"/>
      <c r="C1269" s="225"/>
      <c r="D1269" s="221"/>
      <c r="E1269" s="226"/>
      <c r="F1269" s="227"/>
      <c r="G1269" s="228">
        <f>D1269*E1269</f>
        <v>0</v>
      </c>
    </row>
    <row r="1270" spans="1:7" s="1088" customFormat="1" ht="14.25" x14ac:dyDescent="0.2">
      <c r="A1270" s="1069"/>
      <c r="B1270" s="1070"/>
      <c r="C1270" s="230"/>
      <c r="D1270" s="231"/>
      <c r="E1270" s="232"/>
      <c r="F1270" s="233"/>
      <c r="G1270" s="228">
        <f>D1270*E1270</f>
        <v>0</v>
      </c>
    </row>
    <row r="1271" spans="1:7" s="1088" customFormat="1" ht="15" x14ac:dyDescent="0.25">
      <c r="A1271" s="1073"/>
      <c r="B1271" s="210"/>
      <c r="C1271" s="211"/>
      <c r="D1271" s="212"/>
      <c r="E1271" s="212"/>
      <c r="F1271" s="234" t="s">
        <v>121</v>
      </c>
      <c r="G1271" s="231">
        <f>+SUM(G1266:G1270)</f>
        <v>0</v>
      </c>
    </row>
    <row r="1272" spans="1:7" s="1088" customFormat="1" ht="14.25" x14ac:dyDescent="0.2">
      <c r="A1272" s="209"/>
      <c r="B1272" s="212"/>
      <c r="C1272" s="211" t="s">
        <v>123</v>
      </c>
      <c r="D1272" s="212"/>
      <c r="E1272" s="213"/>
      <c r="F1272" s="214"/>
      <c r="G1272" s="215"/>
    </row>
    <row r="1273" spans="1:7" s="1088" customFormat="1" ht="15" x14ac:dyDescent="0.25">
      <c r="A1273" s="216" t="s">
        <v>122</v>
      </c>
      <c r="B1273" s="212"/>
      <c r="C1273" s="211" t="s">
        <v>123</v>
      </c>
      <c r="D1273" s="212"/>
      <c r="E1273" s="213"/>
      <c r="F1273" s="214"/>
      <c r="G1273" s="215"/>
    </row>
    <row r="1274" spans="1:7" s="1088" customFormat="1" ht="14.25" x14ac:dyDescent="0.2">
      <c r="A1274" s="209"/>
      <c r="B1274" s="212"/>
      <c r="C1274" s="211"/>
      <c r="D1274" s="212"/>
      <c r="E1274" s="213"/>
      <c r="F1274" s="214"/>
      <c r="G1274" s="215"/>
    </row>
    <row r="1275" spans="1:7" s="1088" customFormat="1" ht="15" x14ac:dyDescent="0.25">
      <c r="A1275" s="1071" t="s">
        <v>116</v>
      </c>
      <c r="B1275" s="1072"/>
      <c r="C1275" s="235" t="s">
        <v>117</v>
      </c>
      <c r="D1275" s="236" t="s">
        <v>124</v>
      </c>
      <c r="E1275" s="236" t="s">
        <v>125</v>
      </c>
      <c r="F1275" s="237" t="s">
        <v>126</v>
      </c>
      <c r="G1275" s="238" t="s">
        <v>120</v>
      </c>
    </row>
    <row r="1276" spans="1:7" s="1088" customFormat="1" ht="28.5" x14ac:dyDescent="0.2">
      <c r="A1276" s="1066" t="s">
        <v>127</v>
      </c>
      <c r="B1276" s="1067"/>
      <c r="C1276" s="239" t="s">
        <v>128</v>
      </c>
      <c r="D1276" s="240"/>
      <c r="E1276" s="241"/>
      <c r="F1276" s="222"/>
      <c r="G1276" s="242">
        <f>G1290*0.05</f>
        <v>692.7998</v>
      </c>
    </row>
    <row r="1277" spans="1:7" s="1088" customFormat="1" ht="14.25" x14ac:dyDescent="0.2">
      <c r="A1277" s="1073" t="s">
        <v>174</v>
      </c>
      <c r="B1277" s="1074"/>
      <c r="C1277" s="243">
        <v>1</v>
      </c>
      <c r="D1277" s="221">
        <v>450000</v>
      </c>
      <c r="E1277" s="244"/>
      <c r="F1277" s="222">
        <v>60</v>
      </c>
      <c r="G1277" s="224">
        <f>D1277/F1277</f>
        <v>7500</v>
      </c>
    </row>
    <row r="1278" spans="1:7" s="1088" customFormat="1" ht="14.25" x14ac:dyDescent="0.2">
      <c r="A1278" s="1073"/>
      <c r="B1278" s="1074"/>
      <c r="C1278" s="243"/>
      <c r="D1278" s="221"/>
      <c r="E1278" s="244"/>
      <c r="F1278" s="222"/>
      <c r="G1278" s="224"/>
    </row>
    <row r="1279" spans="1:7" s="1088" customFormat="1" ht="14.25" x14ac:dyDescent="0.2">
      <c r="A1279" s="209"/>
      <c r="B1279" s="245"/>
      <c r="C1279" s="246"/>
      <c r="D1279" s="221"/>
      <c r="E1279" s="247"/>
      <c r="F1279" s="222"/>
      <c r="G1279" s="248"/>
    </row>
    <row r="1280" spans="1:7" s="1088" customFormat="1" ht="14.25" x14ac:dyDescent="0.2">
      <c r="A1280" s="249"/>
      <c r="B1280" s="250"/>
      <c r="C1280" s="251"/>
      <c r="D1280" s="252"/>
      <c r="E1280" s="253"/>
      <c r="F1280" s="254"/>
      <c r="G1280" s="255"/>
    </row>
    <row r="1281" spans="1:7" s="1088" customFormat="1" ht="15" x14ac:dyDescent="0.25">
      <c r="A1281" s="209"/>
      <c r="B1281" s="214"/>
      <c r="C1281" s="256"/>
      <c r="D1281" s="214"/>
      <c r="E1281" s="212"/>
      <c r="F1281" s="257" t="s">
        <v>121</v>
      </c>
      <c r="G1281" s="258">
        <f>+SUM(G1276:G1280)</f>
        <v>8192.7998000000007</v>
      </c>
    </row>
    <row r="1282" spans="1:7" s="1088" customFormat="1" ht="14.25" x14ac:dyDescent="0.2">
      <c r="A1282" s="209"/>
      <c r="B1282" s="212"/>
      <c r="C1282" s="211"/>
      <c r="D1282" s="212"/>
      <c r="E1282" s="213"/>
      <c r="F1282" s="212"/>
      <c r="G1282" s="215"/>
    </row>
    <row r="1283" spans="1:7" s="1088" customFormat="1" ht="15" x14ac:dyDescent="0.25">
      <c r="A1283" s="216" t="s">
        <v>130</v>
      </c>
      <c r="B1283" s="212"/>
      <c r="C1283" s="211"/>
      <c r="D1283" s="212"/>
      <c r="E1283" s="213"/>
      <c r="F1283" s="214"/>
      <c r="G1283" s="215"/>
    </row>
    <row r="1284" spans="1:7" s="1088" customFormat="1" ht="14.25" x14ac:dyDescent="0.2">
      <c r="A1284" s="209"/>
      <c r="B1284" s="212"/>
      <c r="C1284" s="211"/>
      <c r="D1284" s="212"/>
      <c r="E1284" s="213"/>
      <c r="F1284" s="214"/>
      <c r="G1284" s="215"/>
    </row>
    <row r="1285" spans="1:7" s="1088" customFormat="1" ht="15" x14ac:dyDescent="0.25">
      <c r="A1285" s="1071" t="s">
        <v>116</v>
      </c>
      <c r="B1285" s="1072"/>
      <c r="C1285" s="236" t="s">
        <v>131</v>
      </c>
      <c r="D1285" s="235" t="s">
        <v>132</v>
      </c>
      <c r="E1285" s="236" t="s">
        <v>133</v>
      </c>
      <c r="F1285" s="237" t="s">
        <v>126</v>
      </c>
      <c r="G1285" s="238" t="s">
        <v>134</v>
      </c>
    </row>
    <row r="1286" spans="1:7" s="1088" customFormat="1" ht="14.25" x14ac:dyDescent="0.2">
      <c r="A1286" s="209" t="s">
        <v>10</v>
      </c>
      <c r="B1286" s="259"/>
      <c r="C1286" s="260">
        <f>M2</f>
        <v>22981.8</v>
      </c>
      <c r="D1286" s="261">
        <f>N2</f>
        <v>1.76</v>
      </c>
      <c r="E1286" s="262">
        <f>D1286*C1286</f>
        <v>40447.968000000001</v>
      </c>
      <c r="F1286" s="274">
        <f>1/8</f>
        <v>0.125</v>
      </c>
      <c r="G1286" s="264">
        <f>F1286*E1286</f>
        <v>5055.9960000000001</v>
      </c>
    </row>
    <row r="1287" spans="1:7" s="1088" customFormat="1" ht="14.25" x14ac:dyDescent="0.2">
      <c r="A1287" s="209" t="s">
        <v>140</v>
      </c>
      <c r="B1287" s="259"/>
      <c r="C1287" s="260">
        <f>M3</f>
        <v>40000</v>
      </c>
      <c r="D1287" s="261">
        <f>N3</f>
        <v>1.76</v>
      </c>
      <c r="E1287" s="262">
        <f>D1287*C1287</f>
        <v>70400</v>
      </c>
      <c r="F1287" s="274">
        <f>1/8</f>
        <v>0.125</v>
      </c>
      <c r="G1287" s="264">
        <f>F1287*E1287</f>
        <v>8800</v>
      </c>
    </row>
    <row r="1288" spans="1:7" s="1088" customFormat="1" ht="14.25" x14ac:dyDescent="0.2">
      <c r="A1288" s="209"/>
      <c r="B1288" s="245"/>
      <c r="C1288" s="265"/>
      <c r="D1288" s="246"/>
      <c r="E1288" s="265"/>
      <c r="F1288" s="266"/>
      <c r="G1288" s="267"/>
    </row>
    <row r="1289" spans="1:7" s="1088" customFormat="1" ht="14.25" x14ac:dyDescent="0.2">
      <c r="A1289" s="249"/>
      <c r="B1289" s="250"/>
      <c r="C1289" s="252"/>
      <c r="D1289" s="251"/>
      <c r="E1289" s="252"/>
      <c r="F1289" s="254"/>
      <c r="G1289" s="268"/>
    </row>
    <row r="1290" spans="1:7" s="1088" customFormat="1" ht="15" x14ac:dyDescent="0.25">
      <c r="A1290" s="209"/>
      <c r="B1290" s="212"/>
      <c r="C1290" s="211"/>
      <c r="D1290" s="212"/>
      <c r="E1290" s="269"/>
      <c r="F1290" s="269" t="s">
        <v>121</v>
      </c>
      <c r="G1290" s="270">
        <f>+SUM(G1286:G1289)</f>
        <v>13855.995999999999</v>
      </c>
    </row>
    <row r="1291" spans="1:7" s="1088" customFormat="1" ht="15" x14ac:dyDescent="0.25">
      <c r="A1291" s="209"/>
      <c r="B1291" s="212"/>
      <c r="C1291" s="211"/>
      <c r="D1291" s="212"/>
      <c r="E1291" s="257"/>
      <c r="F1291" s="257"/>
      <c r="G1291" s="271"/>
    </row>
    <row r="1292" spans="1:7" s="1088" customFormat="1" ht="15" x14ac:dyDescent="0.25">
      <c r="A1292" s="216" t="s">
        <v>135</v>
      </c>
      <c r="B1292" s="212"/>
      <c r="C1292" s="211"/>
      <c r="D1292" s="212"/>
      <c r="E1292" s="213"/>
      <c r="F1292" s="214"/>
      <c r="G1292" s="215"/>
    </row>
    <row r="1293" spans="1:7" s="1088" customFormat="1" ht="14.25" x14ac:dyDescent="0.2">
      <c r="A1293" s="209"/>
      <c r="B1293" s="212"/>
      <c r="C1293" s="211"/>
      <c r="D1293" s="212"/>
      <c r="E1293" s="213"/>
      <c r="F1293" s="214"/>
      <c r="G1293" s="215"/>
    </row>
    <row r="1294" spans="1:7" s="1088" customFormat="1" ht="15" x14ac:dyDescent="0.25">
      <c r="A1294" s="1071" t="s">
        <v>116</v>
      </c>
      <c r="B1294" s="1072"/>
      <c r="C1294" s="236" t="s">
        <v>117</v>
      </c>
      <c r="D1294" s="235" t="s">
        <v>136</v>
      </c>
      <c r="E1294" s="236" t="s">
        <v>124</v>
      </c>
      <c r="F1294" s="237" t="s">
        <v>126</v>
      </c>
      <c r="G1294" s="238" t="s">
        <v>134</v>
      </c>
    </row>
    <row r="1295" spans="1:7" s="1088" customFormat="1" ht="14.25" x14ac:dyDescent="0.2">
      <c r="A1295" s="58" t="s">
        <v>175</v>
      </c>
      <c r="B1295" s="272"/>
      <c r="C1295" s="273" t="s">
        <v>79</v>
      </c>
      <c r="D1295" s="261"/>
      <c r="E1295" s="262">
        <f>20000*1.7*2</f>
        <v>68000</v>
      </c>
      <c r="F1295" s="274">
        <f>1/8</f>
        <v>0.125</v>
      </c>
      <c r="G1295" s="264">
        <f>F1295*E1295</f>
        <v>8500</v>
      </c>
    </row>
    <row r="1296" spans="1:7" s="1088" customFormat="1" ht="14.25" x14ac:dyDescent="0.2">
      <c r="A1296" s="209"/>
      <c r="B1296" s="275"/>
      <c r="C1296" s="260"/>
      <c r="D1296" s="261"/>
      <c r="E1296" s="276"/>
      <c r="F1296" s="222"/>
      <c r="G1296" s="224"/>
    </row>
    <row r="1297" spans="1:8" s="1088" customFormat="1" ht="14.25" x14ac:dyDescent="0.2">
      <c r="A1297" s="209"/>
      <c r="B1297" s="259"/>
      <c r="C1297" s="260"/>
      <c r="D1297" s="261"/>
      <c r="E1297" s="276"/>
      <c r="F1297" s="222"/>
      <c r="G1297" s="224"/>
    </row>
    <row r="1298" spans="1:8" s="1088" customFormat="1" ht="14.25" x14ac:dyDescent="0.2">
      <c r="A1298" s="209"/>
      <c r="B1298" s="259"/>
      <c r="C1298" s="260"/>
      <c r="D1298" s="261"/>
      <c r="E1298" s="276"/>
      <c r="F1298" s="222"/>
      <c r="G1298" s="224"/>
    </row>
    <row r="1299" spans="1:8" s="1088" customFormat="1" ht="14.25" x14ac:dyDescent="0.2">
      <c r="A1299" s="209"/>
      <c r="B1299" s="245"/>
      <c r="C1299" s="265"/>
      <c r="D1299" s="246"/>
      <c r="E1299" s="265"/>
      <c r="F1299" s="266"/>
      <c r="G1299" s="267"/>
    </row>
    <row r="1300" spans="1:8" s="1088" customFormat="1" ht="14.25" x14ac:dyDescent="0.2">
      <c r="A1300" s="249"/>
      <c r="B1300" s="250"/>
      <c r="C1300" s="252"/>
      <c r="D1300" s="251"/>
      <c r="E1300" s="252"/>
      <c r="F1300" s="254"/>
      <c r="G1300" s="268"/>
    </row>
    <row r="1301" spans="1:8" s="1088" customFormat="1" ht="15" x14ac:dyDescent="0.25">
      <c r="A1301" s="209"/>
      <c r="B1301" s="212"/>
      <c r="C1301" s="211"/>
      <c r="D1301" s="212"/>
      <c r="E1301" s="269"/>
      <c r="F1301" s="269" t="s">
        <v>121</v>
      </c>
      <c r="G1301" s="270">
        <f>+SUM(G1295:G1300)</f>
        <v>8500</v>
      </c>
    </row>
    <row r="1302" spans="1:8" s="1088" customFormat="1" ht="14.25" x14ac:dyDescent="0.2">
      <c r="A1302" s="209"/>
      <c r="B1302" s="212"/>
      <c r="C1302" s="211"/>
      <c r="D1302" s="212"/>
      <c r="E1302" s="213"/>
      <c r="F1302" s="214"/>
      <c r="G1302" s="271"/>
    </row>
    <row r="1303" spans="1:8" s="1088" customFormat="1" ht="15" x14ac:dyDescent="0.25">
      <c r="A1303" s="277"/>
      <c r="B1303" s="278"/>
      <c r="C1303" s="278"/>
      <c r="D1303" s="278"/>
      <c r="E1303" s="279"/>
      <c r="F1303" s="280" t="s">
        <v>137</v>
      </c>
      <c r="G1303" s="283">
        <f>+ROUND(G1271+G1281+G1290+G1301,0)</f>
        <v>30549</v>
      </c>
    </row>
    <row r="1304" spans="1:8" s="1088" customFormat="1" ht="14.25" x14ac:dyDescent="0.2">
      <c r="A1304" s="277"/>
      <c r="B1304" s="278"/>
      <c r="C1304" s="278"/>
      <c r="D1304" s="278"/>
      <c r="E1304" s="279"/>
      <c r="F1304" s="279"/>
      <c r="G1304" s="279"/>
      <c r="H1304" s="279"/>
    </row>
    <row r="1305" spans="1:8" s="1088" customFormat="1" ht="15" x14ac:dyDescent="0.25">
      <c r="A1305" s="145" t="s">
        <v>160</v>
      </c>
      <c r="B1305" s="1262" t="s">
        <v>161</v>
      </c>
      <c r="C1305" s="1263"/>
      <c r="D1305" s="1263"/>
      <c r="E1305" s="1263"/>
      <c r="F1305" s="1264"/>
      <c r="G1305" s="146" t="s">
        <v>2</v>
      </c>
    </row>
    <row r="1306" spans="1:8" s="1088" customFormat="1" ht="15" x14ac:dyDescent="0.25">
      <c r="A1306" s="285">
        <f>'FORMATO PROPUESTA ECONÓMICA'!A48</f>
        <v>6.16</v>
      </c>
      <c r="B1306" s="1265" t="str">
        <f>'FORMATO PROPUESTA ECONÓMICA'!B48</f>
        <v>Codo PEAD PN10 d= 110mmx90° Termofusion</v>
      </c>
      <c r="C1306" s="1266"/>
      <c r="D1306" s="1266"/>
      <c r="E1306" s="1266"/>
      <c r="F1306" s="1267"/>
      <c r="G1306" s="187" t="str">
        <f>'FORMATO PROPUESTA ECONÓMICA'!C48</f>
        <v>und</v>
      </c>
    </row>
    <row r="1307" spans="1:8" s="1088" customFormat="1" ht="14.25" x14ac:dyDescent="0.2">
      <c r="A1307" s="209"/>
      <c r="B1307" s="210"/>
      <c r="C1307" s="211"/>
      <c r="D1307" s="212"/>
      <c r="E1307" s="213"/>
      <c r="F1307" s="214"/>
      <c r="G1307" s="215"/>
    </row>
    <row r="1308" spans="1:8" s="1088" customFormat="1" ht="15" x14ac:dyDescent="0.25">
      <c r="A1308" s="216" t="s">
        <v>115</v>
      </c>
      <c r="B1308" s="212"/>
      <c r="C1308" s="211"/>
      <c r="D1308" s="212"/>
      <c r="E1308" s="213"/>
      <c r="F1308" s="214"/>
      <c r="G1308" s="215"/>
    </row>
    <row r="1309" spans="1:8" s="1088" customFormat="1" ht="14.25" x14ac:dyDescent="0.2">
      <c r="A1309" s="209"/>
      <c r="B1309" s="212"/>
      <c r="C1309" s="211"/>
      <c r="D1309" s="212"/>
      <c r="E1309" s="213"/>
      <c r="F1309" s="214"/>
      <c r="G1309" s="215"/>
    </row>
    <row r="1310" spans="1:8" s="1088" customFormat="1" ht="15" x14ac:dyDescent="0.25">
      <c r="A1310" s="1075" t="s">
        <v>116</v>
      </c>
      <c r="B1310" s="1076"/>
      <c r="C1310" s="217" t="s">
        <v>117</v>
      </c>
      <c r="D1310" s="1075" t="s">
        <v>118</v>
      </c>
      <c r="E1310" s="218" t="s">
        <v>39</v>
      </c>
      <c r="F1310" s="1075" t="s">
        <v>119</v>
      </c>
      <c r="G1310" s="219" t="s">
        <v>120</v>
      </c>
    </row>
    <row r="1311" spans="1:8" s="1088" customFormat="1" ht="14.25" x14ac:dyDescent="0.2">
      <c r="A1311" s="209"/>
      <c r="B1311" s="286"/>
      <c r="C1311" s="220"/>
      <c r="D1311" s="261"/>
      <c r="E1311" s="276"/>
      <c r="F1311" s="222"/>
      <c r="G1311" s="224"/>
    </row>
    <row r="1312" spans="1:8" s="1088" customFormat="1" ht="15" customHeight="1" x14ac:dyDescent="0.2">
      <c r="A1312" s="1060"/>
      <c r="B1312" s="1068"/>
      <c r="C1312" s="225"/>
      <c r="D1312" s="221"/>
      <c r="E1312" s="226"/>
      <c r="F1312" s="227"/>
      <c r="G1312" s="228">
        <f>D1312*E1312</f>
        <v>0</v>
      </c>
    </row>
    <row r="1313" spans="1:7" s="1088" customFormat="1" ht="14.25" x14ac:dyDescent="0.2">
      <c r="A1313" s="1060"/>
      <c r="B1313" s="1068"/>
      <c r="C1313" s="229"/>
      <c r="D1313" s="221"/>
      <c r="E1313" s="226"/>
      <c r="F1313" s="227"/>
      <c r="G1313" s="228">
        <f>D1313*E1313</f>
        <v>0</v>
      </c>
    </row>
    <row r="1314" spans="1:7" s="1088" customFormat="1" ht="14.25" x14ac:dyDescent="0.2">
      <c r="A1314" s="1060"/>
      <c r="B1314" s="1068"/>
      <c r="C1314" s="225"/>
      <c r="D1314" s="221"/>
      <c r="E1314" s="226"/>
      <c r="F1314" s="227"/>
      <c r="G1314" s="228">
        <f>D1314*E1314</f>
        <v>0</v>
      </c>
    </row>
    <row r="1315" spans="1:7" s="1088" customFormat="1" ht="14.25" x14ac:dyDescent="0.2">
      <c r="A1315" s="1069"/>
      <c r="B1315" s="1070"/>
      <c r="C1315" s="230"/>
      <c r="D1315" s="231"/>
      <c r="E1315" s="232"/>
      <c r="F1315" s="233"/>
      <c r="G1315" s="228">
        <f>D1315*E1315</f>
        <v>0</v>
      </c>
    </row>
    <row r="1316" spans="1:7" s="1088" customFormat="1" ht="15" x14ac:dyDescent="0.25">
      <c r="A1316" s="1073"/>
      <c r="B1316" s="210"/>
      <c r="C1316" s="211"/>
      <c r="D1316" s="212"/>
      <c r="E1316" s="212"/>
      <c r="F1316" s="234" t="s">
        <v>121</v>
      </c>
      <c r="G1316" s="231">
        <f>+SUM(G1311:G1315)</f>
        <v>0</v>
      </c>
    </row>
    <row r="1317" spans="1:7" s="1088" customFormat="1" ht="14.25" x14ac:dyDescent="0.2">
      <c r="A1317" s="209"/>
      <c r="B1317" s="212"/>
      <c r="C1317" s="211" t="s">
        <v>123</v>
      </c>
      <c r="D1317" s="212"/>
      <c r="E1317" s="213"/>
      <c r="F1317" s="214"/>
      <c r="G1317" s="215"/>
    </row>
    <row r="1318" spans="1:7" s="1088" customFormat="1" ht="15" x14ac:dyDescent="0.25">
      <c r="A1318" s="216" t="s">
        <v>122</v>
      </c>
      <c r="B1318" s="212"/>
      <c r="C1318" s="211" t="s">
        <v>123</v>
      </c>
      <c r="D1318" s="212"/>
      <c r="E1318" s="213"/>
      <c r="F1318" s="214"/>
      <c r="G1318" s="215"/>
    </row>
    <row r="1319" spans="1:7" s="1088" customFormat="1" ht="14.25" x14ac:dyDescent="0.2">
      <c r="A1319" s="209"/>
      <c r="B1319" s="212"/>
      <c r="C1319" s="211"/>
      <c r="D1319" s="212"/>
      <c r="E1319" s="213"/>
      <c r="F1319" s="214"/>
      <c r="G1319" s="215"/>
    </row>
    <row r="1320" spans="1:7" s="1088" customFormat="1" ht="15" x14ac:dyDescent="0.25">
      <c r="A1320" s="1071" t="s">
        <v>116</v>
      </c>
      <c r="B1320" s="1072"/>
      <c r="C1320" s="235" t="s">
        <v>117</v>
      </c>
      <c r="D1320" s="236" t="s">
        <v>124</v>
      </c>
      <c r="E1320" s="236" t="s">
        <v>125</v>
      </c>
      <c r="F1320" s="237" t="s">
        <v>126</v>
      </c>
      <c r="G1320" s="238" t="s">
        <v>120</v>
      </c>
    </row>
    <row r="1321" spans="1:7" s="1088" customFormat="1" ht="28.5" x14ac:dyDescent="0.2">
      <c r="A1321" s="1066" t="s">
        <v>127</v>
      </c>
      <c r="B1321" s="1067"/>
      <c r="C1321" s="239" t="s">
        <v>128</v>
      </c>
      <c r="D1321" s="240"/>
      <c r="E1321" s="241"/>
      <c r="F1321" s="222"/>
      <c r="G1321" s="242">
        <f>G1335*0.05</f>
        <v>692.7998</v>
      </c>
    </row>
    <row r="1322" spans="1:7" s="1088" customFormat="1" ht="14.25" x14ac:dyDescent="0.2">
      <c r="A1322" s="1073" t="s">
        <v>174</v>
      </c>
      <c r="B1322" s="1074"/>
      <c r="C1322" s="243" t="s">
        <v>176</v>
      </c>
      <c r="D1322" s="221">
        <v>450000</v>
      </c>
      <c r="E1322" s="244"/>
      <c r="F1322" s="222">
        <v>60</v>
      </c>
      <c r="G1322" s="224">
        <f>D1322/F1322</f>
        <v>7500</v>
      </c>
    </row>
    <row r="1323" spans="1:7" s="1088" customFormat="1" ht="14.25" x14ac:dyDescent="0.2">
      <c r="A1323" s="1073"/>
      <c r="B1323" s="1074"/>
      <c r="C1323" s="243"/>
      <c r="D1323" s="221"/>
      <c r="E1323" s="244"/>
      <c r="F1323" s="222"/>
      <c r="G1323" s="224"/>
    </row>
    <row r="1324" spans="1:7" s="1088" customFormat="1" ht="14.25" x14ac:dyDescent="0.2">
      <c r="A1324" s="209"/>
      <c r="B1324" s="245"/>
      <c r="C1324" s="246"/>
      <c r="D1324" s="221"/>
      <c r="E1324" s="247"/>
      <c r="F1324" s="222"/>
      <c r="G1324" s="248"/>
    </row>
    <row r="1325" spans="1:7" s="1088" customFormat="1" ht="14.25" x14ac:dyDescent="0.2">
      <c r="A1325" s="249"/>
      <c r="B1325" s="250"/>
      <c r="C1325" s="251"/>
      <c r="D1325" s="252"/>
      <c r="E1325" s="253"/>
      <c r="F1325" s="254"/>
      <c r="G1325" s="255"/>
    </row>
    <row r="1326" spans="1:7" s="1088" customFormat="1" ht="15" x14ac:dyDescent="0.25">
      <c r="A1326" s="209"/>
      <c r="B1326" s="214"/>
      <c r="C1326" s="256"/>
      <c r="D1326" s="214"/>
      <c r="E1326" s="212"/>
      <c r="F1326" s="257" t="s">
        <v>121</v>
      </c>
      <c r="G1326" s="258">
        <f>+SUM(G1321:G1325)</f>
        <v>8192.7998000000007</v>
      </c>
    </row>
    <row r="1327" spans="1:7" s="1088" customFormat="1" ht="14.25" x14ac:dyDescent="0.2">
      <c r="A1327" s="209"/>
      <c r="B1327" s="212"/>
      <c r="C1327" s="211"/>
      <c r="D1327" s="212"/>
      <c r="E1327" s="213"/>
      <c r="F1327" s="212"/>
      <c r="G1327" s="215"/>
    </row>
    <row r="1328" spans="1:7" s="1088" customFormat="1" ht="15" x14ac:dyDescent="0.25">
      <c r="A1328" s="216" t="s">
        <v>130</v>
      </c>
      <c r="B1328" s="212"/>
      <c r="C1328" s="211"/>
      <c r="D1328" s="212"/>
      <c r="E1328" s="213"/>
      <c r="F1328" s="214"/>
      <c r="G1328" s="215"/>
    </row>
    <row r="1329" spans="1:7" s="1088" customFormat="1" ht="14.25" x14ac:dyDescent="0.2">
      <c r="A1329" s="209"/>
      <c r="B1329" s="212"/>
      <c r="C1329" s="211"/>
      <c r="D1329" s="212"/>
      <c r="E1329" s="213"/>
      <c r="F1329" s="214"/>
      <c r="G1329" s="215"/>
    </row>
    <row r="1330" spans="1:7" s="1088" customFormat="1" ht="15" x14ac:dyDescent="0.25">
      <c r="A1330" s="1071" t="s">
        <v>116</v>
      </c>
      <c r="B1330" s="1072"/>
      <c r="C1330" s="236" t="s">
        <v>131</v>
      </c>
      <c r="D1330" s="235" t="s">
        <v>132</v>
      </c>
      <c r="E1330" s="236" t="s">
        <v>133</v>
      </c>
      <c r="F1330" s="237" t="s">
        <v>126</v>
      </c>
      <c r="G1330" s="238" t="s">
        <v>134</v>
      </c>
    </row>
    <row r="1331" spans="1:7" s="1088" customFormat="1" ht="14.25" x14ac:dyDescent="0.2">
      <c r="A1331" s="209" t="s">
        <v>10</v>
      </c>
      <c r="B1331" s="259"/>
      <c r="C1331" s="260">
        <f>M2</f>
        <v>22981.8</v>
      </c>
      <c r="D1331" s="261">
        <f>N2</f>
        <v>1.76</v>
      </c>
      <c r="E1331" s="276">
        <f>C1331*D1331</f>
        <v>40447.968000000001</v>
      </c>
      <c r="F1331" s="222">
        <f>1/8</f>
        <v>0.125</v>
      </c>
      <c r="G1331" s="224">
        <f>F1331*E1331</f>
        <v>5055.9960000000001</v>
      </c>
    </row>
    <row r="1332" spans="1:7" s="1088" customFormat="1" ht="14.25" x14ac:dyDescent="0.2">
      <c r="A1332" s="209" t="s">
        <v>140</v>
      </c>
      <c r="B1332" s="259"/>
      <c r="C1332" s="260">
        <f>M3</f>
        <v>40000</v>
      </c>
      <c r="D1332" s="261">
        <f>N3</f>
        <v>1.76</v>
      </c>
      <c r="E1332" s="276">
        <f>C1332*D1332</f>
        <v>70400</v>
      </c>
      <c r="F1332" s="222">
        <f>1/8</f>
        <v>0.125</v>
      </c>
      <c r="G1332" s="224">
        <f>F1332*E1332</f>
        <v>8800</v>
      </c>
    </row>
    <row r="1333" spans="1:7" s="1088" customFormat="1" ht="14.25" x14ac:dyDescent="0.2">
      <c r="A1333" s="209"/>
      <c r="B1333" s="245"/>
      <c r="C1333" s="265"/>
      <c r="D1333" s="246"/>
      <c r="E1333" s="265"/>
      <c r="F1333" s="266"/>
      <c r="G1333" s="267"/>
    </row>
    <row r="1334" spans="1:7" s="1088" customFormat="1" ht="14.25" x14ac:dyDescent="0.2">
      <c r="A1334" s="249"/>
      <c r="B1334" s="250"/>
      <c r="C1334" s="252"/>
      <c r="D1334" s="251"/>
      <c r="E1334" s="252"/>
      <c r="F1334" s="254"/>
      <c r="G1334" s="268"/>
    </row>
    <row r="1335" spans="1:7" s="1088" customFormat="1" ht="15" x14ac:dyDescent="0.25">
      <c r="A1335" s="209"/>
      <c r="B1335" s="212"/>
      <c r="C1335" s="211"/>
      <c r="D1335" s="212"/>
      <c r="E1335" s="269"/>
      <c r="F1335" s="269" t="s">
        <v>121</v>
      </c>
      <c r="G1335" s="270">
        <f>+SUM(G1331:G1334)</f>
        <v>13855.995999999999</v>
      </c>
    </row>
    <row r="1336" spans="1:7" s="1088" customFormat="1" ht="15" x14ac:dyDescent="0.25">
      <c r="A1336" s="209"/>
      <c r="B1336" s="212"/>
      <c r="C1336" s="211"/>
      <c r="D1336" s="212"/>
      <c r="E1336" s="257"/>
      <c r="F1336" s="257"/>
      <c r="G1336" s="271"/>
    </row>
    <row r="1337" spans="1:7" s="1088" customFormat="1" ht="15" x14ac:dyDescent="0.25">
      <c r="A1337" s="216" t="s">
        <v>135</v>
      </c>
      <c r="B1337" s="212"/>
      <c r="C1337" s="211"/>
      <c r="D1337" s="212"/>
      <c r="E1337" s="213"/>
      <c r="F1337" s="214"/>
      <c r="G1337" s="215"/>
    </row>
    <row r="1338" spans="1:7" s="1088" customFormat="1" ht="14.25" x14ac:dyDescent="0.2">
      <c r="A1338" s="209"/>
      <c r="B1338" s="212"/>
      <c r="C1338" s="211"/>
      <c r="D1338" s="212"/>
      <c r="E1338" s="213"/>
      <c r="F1338" s="214"/>
      <c r="G1338" s="215"/>
    </row>
    <row r="1339" spans="1:7" s="1088" customFormat="1" ht="15" x14ac:dyDescent="0.25">
      <c r="A1339" s="1071" t="s">
        <v>116</v>
      </c>
      <c r="B1339" s="1072"/>
      <c r="C1339" s="236" t="s">
        <v>117</v>
      </c>
      <c r="D1339" s="235" t="s">
        <v>136</v>
      </c>
      <c r="E1339" s="236" t="s">
        <v>124</v>
      </c>
      <c r="F1339" s="237" t="s">
        <v>126</v>
      </c>
      <c r="G1339" s="238" t="s">
        <v>134</v>
      </c>
    </row>
    <row r="1340" spans="1:7" s="1088" customFormat="1" ht="14.25" x14ac:dyDescent="0.2">
      <c r="A1340" s="209" t="s">
        <v>175</v>
      </c>
      <c r="B1340" s="286"/>
      <c r="C1340" s="287" t="s">
        <v>79</v>
      </c>
      <c r="D1340" s="261"/>
      <c r="E1340" s="276">
        <v>68000</v>
      </c>
      <c r="F1340" s="222">
        <f>1/8</f>
        <v>0.125</v>
      </c>
      <c r="G1340" s="224">
        <f>F1340*E1340</f>
        <v>8500</v>
      </c>
    </row>
    <row r="1341" spans="1:7" s="1088" customFormat="1" ht="14.25" x14ac:dyDescent="0.2">
      <c r="A1341" s="209"/>
      <c r="B1341" s="275"/>
      <c r="C1341" s="260"/>
      <c r="D1341" s="261"/>
      <c r="E1341" s="276"/>
      <c r="F1341" s="222"/>
      <c r="G1341" s="224"/>
    </row>
    <row r="1342" spans="1:7" s="1088" customFormat="1" ht="14.25" x14ac:dyDescent="0.2">
      <c r="A1342" s="209"/>
      <c r="B1342" s="259"/>
      <c r="C1342" s="260"/>
      <c r="D1342" s="261"/>
      <c r="E1342" s="276"/>
      <c r="F1342" s="222"/>
      <c r="G1342" s="224"/>
    </row>
    <row r="1343" spans="1:7" s="1088" customFormat="1" ht="14.25" x14ac:dyDescent="0.2">
      <c r="A1343" s="209"/>
      <c r="B1343" s="259"/>
      <c r="C1343" s="260"/>
      <c r="D1343" s="261"/>
      <c r="E1343" s="276"/>
      <c r="F1343" s="222"/>
      <c r="G1343" s="224"/>
    </row>
    <row r="1344" spans="1:7" s="1088" customFormat="1" ht="14.25" x14ac:dyDescent="0.2">
      <c r="A1344" s="209"/>
      <c r="B1344" s="245"/>
      <c r="C1344" s="265"/>
      <c r="D1344" s="246"/>
      <c r="E1344" s="265"/>
      <c r="F1344" s="266"/>
      <c r="G1344" s="267"/>
    </row>
    <row r="1345" spans="1:8" s="1088" customFormat="1" ht="14.25" x14ac:dyDescent="0.2">
      <c r="A1345" s="249"/>
      <c r="B1345" s="250"/>
      <c r="C1345" s="252"/>
      <c r="D1345" s="251"/>
      <c r="E1345" s="252"/>
      <c r="F1345" s="254"/>
      <c r="G1345" s="268"/>
    </row>
    <row r="1346" spans="1:8" s="1088" customFormat="1" ht="15" x14ac:dyDescent="0.25">
      <c r="A1346" s="209"/>
      <c r="B1346" s="212"/>
      <c r="C1346" s="211"/>
      <c r="D1346" s="212"/>
      <c r="E1346" s="269"/>
      <c r="F1346" s="269" t="s">
        <v>121</v>
      </c>
      <c r="G1346" s="270">
        <f>+SUM(G1340:G1345)</f>
        <v>8500</v>
      </c>
    </row>
    <row r="1347" spans="1:8" s="1088" customFormat="1" ht="14.25" x14ac:dyDescent="0.2">
      <c r="A1347" s="209"/>
      <c r="B1347" s="212"/>
      <c r="C1347" s="211"/>
      <c r="D1347" s="212"/>
      <c r="E1347" s="213"/>
      <c r="F1347" s="214"/>
      <c r="G1347" s="271"/>
    </row>
    <row r="1348" spans="1:8" s="1088" customFormat="1" ht="15" x14ac:dyDescent="0.25">
      <c r="A1348" s="277"/>
      <c r="B1348" s="278"/>
      <c r="C1348" s="278"/>
      <c r="D1348" s="278"/>
      <c r="E1348" s="279"/>
      <c r="F1348" s="280" t="s">
        <v>137</v>
      </c>
      <c r="G1348" s="283">
        <f>+ROUND(G1316+G1326+G1335+G1346,0)</f>
        <v>30549</v>
      </c>
    </row>
    <row r="1349" spans="1:8" s="1088" customFormat="1" ht="14.25" x14ac:dyDescent="0.2">
      <c r="A1349" s="277"/>
      <c r="B1349" s="278"/>
      <c r="C1349" s="278"/>
      <c r="D1349" s="278"/>
      <c r="E1349" s="279"/>
      <c r="F1349" s="279"/>
      <c r="G1349" s="279"/>
      <c r="H1349" s="279"/>
    </row>
    <row r="1350" spans="1:8" s="1088" customFormat="1" ht="15" x14ac:dyDescent="0.25">
      <c r="A1350" s="145" t="s">
        <v>160</v>
      </c>
      <c r="B1350" s="1262" t="s">
        <v>161</v>
      </c>
      <c r="C1350" s="1263"/>
      <c r="D1350" s="1263"/>
      <c r="E1350" s="1263"/>
      <c r="F1350" s="1264"/>
      <c r="G1350" s="146" t="s">
        <v>2</v>
      </c>
    </row>
    <row r="1351" spans="1:8" s="1088" customFormat="1" ht="15" x14ac:dyDescent="0.25">
      <c r="A1351" s="285">
        <f>'FORMATO PROPUESTA ECONÓMICA'!A49</f>
        <v>6.17</v>
      </c>
      <c r="B1351" s="1265" t="str">
        <f>'FORMATO PROPUESTA ECONÓMICA'!B49</f>
        <v>Tapon PEAD PN10 d= 90mm Termofusion</v>
      </c>
      <c r="C1351" s="1266"/>
      <c r="D1351" s="1266"/>
      <c r="E1351" s="1266"/>
      <c r="F1351" s="1267"/>
      <c r="G1351" s="187" t="str">
        <f>'FORMATO PROPUESTA ECONÓMICA'!C49</f>
        <v>und</v>
      </c>
    </row>
    <row r="1352" spans="1:8" s="1088" customFormat="1" ht="14.25" x14ac:dyDescent="0.2">
      <c r="A1352" s="209"/>
      <c r="B1352" s="210"/>
      <c r="C1352" s="211"/>
      <c r="D1352" s="212"/>
      <c r="E1352" s="213"/>
      <c r="F1352" s="214"/>
      <c r="G1352" s="215"/>
    </row>
    <row r="1353" spans="1:8" s="1088" customFormat="1" ht="15" x14ac:dyDescent="0.25">
      <c r="A1353" s="216" t="s">
        <v>115</v>
      </c>
      <c r="B1353" s="212"/>
      <c r="C1353" s="211"/>
      <c r="D1353" s="212"/>
      <c r="E1353" s="213"/>
      <c r="F1353" s="214"/>
      <c r="G1353" s="215"/>
    </row>
    <row r="1354" spans="1:8" s="1088" customFormat="1" ht="14.25" x14ac:dyDescent="0.2">
      <c r="A1354" s="209"/>
      <c r="B1354" s="212"/>
      <c r="C1354" s="211"/>
      <c r="D1354" s="212"/>
      <c r="E1354" s="213"/>
      <c r="F1354" s="214"/>
      <c r="G1354" s="215"/>
    </row>
    <row r="1355" spans="1:8" s="1088" customFormat="1" ht="15" x14ac:dyDescent="0.25">
      <c r="A1355" s="1075" t="s">
        <v>116</v>
      </c>
      <c r="B1355" s="1076"/>
      <c r="C1355" s="217" t="s">
        <v>117</v>
      </c>
      <c r="D1355" s="1075" t="s">
        <v>118</v>
      </c>
      <c r="E1355" s="218" t="s">
        <v>39</v>
      </c>
      <c r="F1355" s="1075" t="s">
        <v>119</v>
      </c>
      <c r="G1355" s="219" t="s">
        <v>120</v>
      </c>
    </row>
    <row r="1356" spans="1:8" s="1088" customFormat="1" ht="14.25" x14ac:dyDescent="0.2">
      <c r="A1356" s="209"/>
      <c r="B1356" s="286"/>
      <c r="C1356" s="220"/>
      <c r="D1356" s="261"/>
      <c r="E1356" s="276"/>
      <c r="F1356" s="222"/>
      <c r="G1356" s="224"/>
    </row>
    <row r="1357" spans="1:8" s="1088" customFormat="1" ht="15" customHeight="1" x14ac:dyDescent="0.2">
      <c r="A1357" s="1060"/>
      <c r="B1357" s="1068"/>
      <c r="C1357" s="225"/>
      <c r="D1357" s="221"/>
      <c r="E1357" s="226"/>
      <c r="F1357" s="227"/>
      <c r="G1357" s="228">
        <f>D1357*E1357</f>
        <v>0</v>
      </c>
    </row>
    <row r="1358" spans="1:8" s="1088" customFormat="1" ht="14.25" x14ac:dyDescent="0.2">
      <c r="A1358" s="1060"/>
      <c r="B1358" s="1068"/>
      <c r="C1358" s="229"/>
      <c r="D1358" s="221"/>
      <c r="E1358" s="226"/>
      <c r="F1358" s="227"/>
      <c r="G1358" s="228">
        <f>D1358*E1358</f>
        <v>0</v>
      </c>
    </row>
    <row r="1359" spans="1:8" s="1088" customFormat="1" ht="14.25" x14ac:dyDescent="0.2">
      <c r="A1359" s="1060"/>
      <c r="B1359" s="1068"/>
      <c r="C1359" s="225"/>
      <c r="D1359" s="221"/>
      <c r="E1359" s="226"/>
      <c r="F1359" s="227"/>
      <c r="G1359" s="228">
        <f>D1359*E1359</f>
        <v>0</v>
      </c>
    </row>
    <row r="1360" spans="1:8" s="1088" customFormat="1" ht="14.25" x14ac:dyDescent="0.2">
      <c r="A1360" s="1069"/>
      <c r="B1360" s="1070"/>
      <c r="C1360" s="230"/>
      <c r="D1360" s="231"/>
      <c r="E1360" s="232"/>
      <c r="F1360" s="233"/>
      <c r="G1360" s="228">
        <f>D1360*E1360</f>
        <v>0</v>
      </c>
    </row>
    <row r="1361" spans="1:7" s="1088" customFormat="1" ht="15" x14ac:dyDescent="0.25">
      <c r="A1361" s="1073"/>
      <c r="B1361" s="210"/>
      <c r="C1361" s="211"/>
      <c r="D1361" s="212"/>
      <c r="E1361" s="212"/>
      <c r="F1361" s="234" t="s">
        <v>121</v>
      </c>
      <c r="G1361" s="231">
        <f>+SUM(G1356:G1360)</f>
        <v>0</v>
      </c>
    </row>
    <row r="1362" spans="1:7" s="1088" customFormat="1" ht="14.25" x14ac:dyDescent="0.2">
      <c r="A1362" s="209"/>
      <c r="B1362" s="212"/>
      <c r="C1362" s="211" t="s">
        <v>123</v>
      </c>
      <c r="D1362" s="212"/>
      <c r="E1362" s="213"/>
      <c r="F1362" s="214"/>
      <c r="G1362" s="215"/>
    </row>
    <row r="1363" spans="1:7" s="1088" customFormat="1" ht="15" x14ac:dyDescent="0.25">
      <c r="A1363" s="216" t="s">
        <v>122</v>
      </c>
      <c r="B1363" s="212"/>
      <c r="C1363" s="211" t="s">
        <v>123</v>
      </c>
      <c r="D1363" s="212"/>
      <c r="E1363" s="213"/>
      <c r="F1363" s="214"/>
      <c r="G1363" s="215"/>
    </row>
    <row r="1364" spans="1:7" s="1088" customFormat="1" ht="14.25" x14ac:dyDescent="0.2">
      <c r="A1364" s="209"/>
      <c r="B1364" s="212"/>
      <c r="C1364" s="211"/>
      <c r="D1364" s="212"/>
      <c r="E1364" s="213"/>
      <c r="F1364" s="214"/>
      <c r="G1364" s="215"/>
    </row>
    <row r="1365" spans="1:7" s="1088" customFormat="1" ht="15" x14ac:dyDescent="0.25">
      <c r="A1365" s="1071" t="s">
        <v>116</v>
      </c>
      <c r="B1365" s="1072"/>
      <c r="C1365" s="235" t="s">
        <v>117</v>
      </c>
      <c r="D1365" s="236" t="s">
        <v>124</v>
      </c>
      <c r="E1365" s="236" t="s">
        <v>125</v>
      </c>
      <c r="F1365" s="237" t="s">
        <v>126</v>
      </c>
      <c r="G1365" s="238" t="s">
        <v>120</v>
      </c>
    </row>
    <row r="1366" spans="1:7" s="1088" customFormat="1" ht="28.5" x14ac:dyDescent="0.2">
      <c r="A1366" s="1066" t="s">
        <v>127</v>
      </c>
      <c r="B1366" s="1067"/>
      <c r="C1366" s="239" t="s">
        <v>128</v>
      </c>
      <c r="D1366" s="240"/>
      <c r="E1366" s="241"/>
      <c r="F1366" s="222"/>
      <c r="G1366" s="242">
        <f>G1380*0.05</f>
        <v>461.86653333333328</v>
      </c>
    </row>
    <row r="1367" spans="1:7" s="1088" customFormat="1" ht="14.25" x14ac:dyDescent="0.2">
      <c r="A1367" s="1073" t="s">
        <v>174</v>
      </c>
      <c r="B1367" s="1074"/>
      <c r="C1367" s="243" t="s">
        <v>176</v>
      </c>
      <c r="D1367" s="221">
        <v>450000</v>
      </c>
      <c r="E1367" s="244"/>
      <c r="F1367" s="222">
        <v>30</v>
      </c>
      <c r="G1367" s="224">
        <f>D1367/F1367</f>
        <v>15000</v>
      </c>
    </row>
    <row r="1368" spans="1:7" s="1088" customFormat="1" ht="14.25" x14ac:dyDescent="0.2">
      <c r="A1368" s="1073"/>
      <c r="B1368" s="1074"/>
      <c r="C1368" s="243"/>
      <c r="D1368" s="221"/>
      <c r="E1368" s="244"/>
      <c r="F1368" s="222"/>
      <c r="G1368" s="224"/>
    </row>
    <row r="1369" spans="1:7" s="1088" customFormat="1" ht="14.25" x14ac:dyDescent="0.2">
      <c r="A1369" s="209"/>
      <c r="B1369" s="245"/>
      <c r="C1369" s="246"/>
      <c r="D1369" s="221"/>
      <c r="E1369" s="247"/>
      <c r="F1369" s="222"/>
      <c r="G1369" s="248"/>
    </row>
    <row r="1370" spans="1:7" s="1088" customFormat="1" ht="14.25" x14ac:dyDescent="0.2">
      <c r="A1370" s="249"/>
      <c r="B1370" s="250"/>
      <c r="C1370" s="251"/>
      <c r="D1370" s="252"/>
      <c r="E1370" s="253"/>
      <c r="F1370" s="254"/>
      <c r="G1370" s="255"/>
    </row>
    <row r="1371" spans="1:7" s="1088" customFormat="1" ht="15" x14ac:dyDescent="0.25">
      <c r="A1371" s="209"/>
      <c r="B1371" s="214"/>
      <c r="C1371" s="256"/>
      <c r="D1371" s="214"/>
      <c r="E1371" s="212"/>
      <c r="F1371" s="257" t="s">
        <v>121</v>
      </c>
      <c r="G1371" s="258">
        <f>+SUM(G1366:G1370)</f>
        <v>15461.866533333334</v>
      </c>
    </row>
    <row r="1372" spans="1:7" s="1088" customFormat="1" ht="14.25" x14ac:dyDescent="0.2">
      <c r="A1372" s="209"/>
      <c r="B1372" s="212"/>
      <c r="C1372" s="211"/>
      <c r="D1372" s="212"/>
      <c r="E1372" s="213"/>
      <c r="F1372" s="212"/>
      <c r="G1372" s="215"/>
    </row>
    <row r="1373" spans="1:7" s="1088" customFormat="1" ht="15" x14ac:dyDescent="0.25">
      <c r="A1373" s="216" t="s">
        <v>130</v>
      </c>
      <c r="B1373" s="212"/>
      <c r="C1373" s="211"/>
      <c r="D1373" s="212"/>
      <c r="E1373" s="213"/>
      <c r="F1373" s="214"/>
      <c r="G1373" s="215"/>
    </row>
    <row r="1374" spans="1:7" s="1088" customFormat="1" ht="14.25" x14ac:dyDescent="0.2">
      <c r="A1374" s="209"/>
      <c r="B1374" s="212"/>
      <c r="C1374" s="211"/>
      <c r="D1374" s="212"/>
      <c r="E1374" s="213"/>
      <c r="F1374" s="214"/>
      <c r="G1374" s="215"/>
    </row>
    <row r="1375" spans="1:7" s="1088" customFormat="1" ht="15" x14ac:dyDescent="0.25">
      <c r="A1375" s="1071" t="s">
        <v>116</v>
      </c>
      <c r="B1375" s="1072"/>
      <c r="C1375" s="236" t="s">
        <v>131</v>
      </c>
      <c r="D1375" s="235" t="s">
        <v>132</v>
      </c>
      <c r="E1375" s="236" t="s">
        <v>133</v>
      </c>
      <c r="F1375" s="237" t="s">
        <v>126</v>
      </c>
      <c r="G1375" s="238" t="s">
        <v>134</v>
      </c>
    </row>
    <row r="1376" spans="1:7" s="1088" customFormat="1" ht="14.25" x14ac:dyDescent="0.2">
      <c r="A1376" s="209" t="s">
        <v>10</v>
      </c>
      <c r="B1376" s="259"/>
      <c r="C1376" s="260">
        <f>M2</f>
        <v>22981.8</v>
      </c>
      <c r="D1376" s="261">
        <f>N2</f>
        <v>1.76</v>
      </c>
      <c r="E1376" s="276">
        <f>C1376*D1376</f>
        <v>40447.968000000001</v>
      </c>
      <c r="F1376" s="222">
        <f>1/12</f>
        <v>8.3333333333333329E-2</v>
      </c>
      <c r="G1376" s="224">
        <f>F1376*E1376</f>
        <v>3370.6639999999998</v>
      </c>
    </row>
    <row r="1377" spans="1:7" s="1088" customFormat="1" ht="14.25" x14ac:dyDescent="0.2">
      <c r="A1377" s="209" t="s">
        <v>140</v>
      </c>
      <c r="B1377" s="259"/>
      <c r="C1377" s="260">
        <f>M3</f>
        <v>40000</v>
      </c>
      <c r="D1377" s="261">
        <f>N3</f>
        <v>1.76</v>
      </c>
      <c r="E1377" s="276">
        <f>C1377*D1377</f>
        <v>70400</v>
      </c>
      <c r="F1377" s="222">
        <f>1/12</f>
        <v>8.3333333333333329E-2</v>
      </c>
      <c r="G1377" s="224">
        <f>F1377*E1377</f>
        <v>5866.6666666666661</v>
      </c>
    </row>
    <row r="1378" spans="1:7" s="1088" customFormat="1" ht="14.25" x14ac:dyDescent="0.2">
      <c r="A1378" s="209"/>
      <c r="B1378" s="245"/>
      <c r="C1378" s="265"/>
      <c r="D1378" s="246"/>
      <c r="E1378" s="265"/>
      <c r="F1378" s="266"/>
      <c r="G1378" s="267"/>
    </row>
    <row r="1379" spans="1:7" s="1088" customFormat="1" ht="14.25" x14ac:dyDescent="0.2">
      <c r="A1379" s="249"/>
      <c r="B1379" s="250"/>
      <c r="C1379" s="252"/>
      <c r="D1379" s="251"/>
      <c r="E1379" s="252"/>
      <c r="F1379" s="254"/>
      <c r="G1379" s="268"/>
    </row>
    <row r="1380" spans="1:7" s="1088" customFormat="1" ht="15" x14ac:dyDescent="0.25">
      <c r="A1380" s="209"/>
      <c r="B1380" s="212"/>
      <c r="C1380" s="211"/>
      <c r="D1380" s="212"/>
      <c r="E1380" s="269"/>
      <c r="F1380" s="269" t="s">
        <v>121</v>
      </c>
      <c r="G1380" s="270">
        <f>+SUM(G1376:G1379)</f>
        <v>9237.3306666666649</v>
      </c>
    </row>
    <row r="1381" spans="1:7" s="1088" customFormat="1" ht="15" x14ac:dyDescent="0.25">
      <c r="A1381" s="209"/>
      <c r="B1381" s="212"/>
      <c r="C1381" s="211"/>
      <c r="D1381" s="212"/>
      <c r="E1381" s="257"/>
      <c r="F1381" s="257"/>
      <c r="G1381" s="271"/>
    </row>
    <row r="1382" spans="1:7" s="1088" customFormat="1" ht="15" x14ac:dyDescent="0.25">
      <c r="A1382" s="216" t="s">
        <v>135</v>
      </c>
      <c r="B1382" s="212"/>
      <c r="C1382" s="211"/>
      <c r="D1382" s="212"/>
      <c r="E1382" s="213"/>
      <c r="F1382" s="214"/>
      <c r="G1382" s="215"/>
    </row>
    <row r="1383" spans="1:7" s="1088" customFormat="1" ht="14.25" x14ac:dyDescent="0.2">
      <c r="A1383" s="209"/>
      <c r="B1383" s="212"/>
      <c r="C1383" s="211"/>
      <c r="D1383" s="212"/>
      <c r="E1383" s="213"/>
      <c r="F1383" s="214"/>
      <c r="G1383" s="215"/>
    </row>
    <row r="1384" spans="1:7" s="1088" customFormat="1" ht="15" x14ac:dyDescent="0.25">
      <c r="A1384" s="1071" t="s">
        <v>116</v>
      </c>
      <c r="B1384" s="1072"/>
      <c r="C1384" s="236" t="s">
        <v>117</v>
      </c>
      <c r="D1384" s="235" t="s">
        <v>136</v>
      </c>
      <c r="E1384" s="236" t="s">
        <v>124</v>
      </c>
      <c r="F1384" s="237" t="s">
        <v>126</v>
      </c>
      <c r="G1384" s="238" t="s">
        <v>134</v>
      </c>
    </row>
    <row r="1385" spans="1:7" s="1088" customFormat="1" ht="14.25" x14ac:dyDescent="0.2">
      <c r="A1385" s="209" t="s">
        <v>175</v>
      </c>
      <c r="B1385" s="286"/>
      <c r="C1385" s="287" t="s">
        <v>79</v>
      </c>
      <c r="D1385" s="261"/>
      <c r="E1385" s="276">
        <v>68000</v>
      </c>
      <c r="F1385" s="222">
        <f>1/12</f>
        <v>8.3333333333333329E-2</v>
      </c>
      <c r="G1385" s="224">
        <f>F1385*E1385</f>
        <v>5666.6666666666661</v>
      </c>
    </row>
    <row r="1386" spans="1:7" s="1088" customFormat="1" ht="14.25" x14ac:dyDescent="0.2">
      <c r="A1386" s="209"/>
      <c r="B1386" s="275"/>
      <c r="C1386" s="260"/>
      <c r="D1386" s="261"/>
      <c r="E1386" s="276"/>
      <c r="F1386" s="222"/>
      <c r="G1386" s="224"/>
    </row>
    <row r="1387" spans="1:7" s="1088" customFormat="1" ht="14.25" x14ac:dyDescent="0.2">
      <c r="A1387" s="209"/>
      <c r="B1387" s="259"/>
      <c r="C1387" s="260"/>
      <c r="D1387" s="261"/>
      <c r="E1387" s="276"/>
      <c r="F1387" s="222"/>
      <c r="G1387" s="224"/>
    </row>
    <row r="1388" spans="1:7" s="1088" customFormat="1" ht="14.25" x14ac:dyDescent="0.2">
      <c r="A1388" s="209"/>
      <c r="B1388" s="259"/>
      <c r="C1388" s="260"/>
      <c r="D1388" s="261"/>
      <c r="E1388" s="276"/>
      <c r="F1388" s="222"/>
      <c r="G1388" s="224"/>
    </row>
    <row r="1389" spans="1:7" s="1088" customFormat="1" ht="14.25" x14ac:dyDescent="0.2">
      <c r="A1389" s="209"/>
      <c r="B1389" s="245"/>
      <c r="C1389" s="265"/>
      <c r="D1389" s="246"/>
      <c r="E1389" s="265"/>
      <c r="F1389" s="266"/>
      <c r="G1389" s="267"/>
    </row>
    <row r="1390" spans="1:7" s="1088" customFormat="1" ht="14.25" x14ac:dyDescent="0.2">
      <c r="A1390" s="249"/>
      <c r="B1390" s="250"/>
      <c r="C1390" s="252"/>
      <c r="D1390" s="251"/>
      <c r="E1390" s="252"/>
      <c r="F1390" s="254"/>
      <c r="G1390" s="268"/>
    </row>
    <row r="1391" spans="1:7" s="1088" customFormat="1" ht="15" x14ac:dyDescent="0.25">
      <c r="A1391" s="209"/>
      <c r="B1391" s="212"/>
      <c r="C1391" s="211"/>
      <c r="D1391" s="212"/>
      <c r="E1391" s="269"/>
      <c r="F1391" s="269" t="s">
        <v>121</v>
      </c>
      <c r="G1391" s="270">
        <f>+SUM(G1385:G1390)</f>
        <v>5666.6666666666661</v>
      </c>
    </row>
    <row r="1392" spans="1:7" s="1088" customFormat="1" ht="14.25" x14ac:dyDescent="0.2">
      <c r="A1392" s="209"/>
      <c r="B1392" s="212"/>
      <c r="C1392" s="211"/>
      <c r="D1392" s="212"/>
      <c r="E1392" s="213"/>
      <c r="F1392" s="214"/>
      <c r="G1392" s="271"/>
    </row>
    <row r="1393" spans="1:8" s="1088" customFormat="1" ht="15" x14ac:dyDescent="0.25">
      <c r="A1393" s="277"/>
      <c r="B1393" s="278"/>
      <c r="C1393" s="278"/>
      <c r="D1393" s="278"/>
      <c r="E1393" s="279"/>
      <c r="F1393" s="280" t="s">
        <v>137</v>
      </c>
      <c r="G1393" s="283">
        <f>+ROUND(G1361+G1371+G1380+G1391,0)</f>
        <v>30366</v>
      </c>
    </row>
    <row r="1394" spans="1:8" s="1088" customFormat="1" ht="14.25" x14ac:dyDescent="0.2">
      <c r="A1394" s="277"/>
      <c r="B1394" s="278"/>
      <c r="C1394" s="278"/>
      <c r="D1394" s="278"/>
      <c r="E1394" s="279"/>
      <c r="F1394" s="279"/>
      <c r="G1394" s="279"/>
      <c r="H1394" s="279"/>
    </row>
    <row r="1395" spans="1:8" s="1088" customFormat="1" ht="14.25" x14ac:dyDescent="0.2">
      <c r="A1395" s="277"/>
      <c r="B1395" s="278"/>
      <c r="C1395" s="278"/>
      <c r="D1395" s="278"/>
      <c r="E1395" s="279"/>
      <c r="F1395" s="279"/>
      <c r="G1395" s="279"/>
    </row>
    <row r="1396" spans="1:8" s="1088" customFormat="1" ht="15" x14ac:dyDescent="0.25">
      <c r="A1396" s="145" t="s">
        <v>160</v>
      </c>
      <c r="B1396" s="1262" t="s">
        <v>161</v>
      </c>
      <c r="C1396" s="1263"/>
      <c r="D1396" s="1263"/>
      <c r="E1396" s="1263"/>
      <c r="F1396" s="1264"/>
      <c r="G1396" s="146" t="s">
        <v>2</v>
      </c>
    </row>
    <row r="1397" spans="1:8" s="1088" customFormat="1" ht="15" x14ac:dyDescent="0.25">
      <c r="A1397" s="285">
        <f>'FORMATO PROPUESTA ECONÓMICA'!A50</f>
        <v>6.18</v>
      </c>
      <c r="B1397" s="1265" t="str">
        <f>'FORMATO PROPUESTA ECONÓMICA'!B50</f>
        <v>Tee PEAD PN10 d= 200x90x200 Termofusion</v>
      </c>
      <c r="C1397" s="1266"/>
      <c r="D1397" s="1266"/>
      <c r="E1397" s="1266"/>
      <c r="F1397" s="1267"/>
      <c r="G1397" s="187" t="str">
        <f>'FORMATO PROPUESTA ECONÓMICA'!C50</f>
        <v>und</v>
      </c>
    </row>
    <row r="1398" spans="1:8" s="1088" customFormat="1" ht="14.25" x14ac:dyDescent="0.2">
      <c r="A1398" s="209"/>
      <c r="B1398" s="210"/>
      <c r="C1398" s="211"/>
      <c r="D1398" s="212"/>
      <c r="E1398" s="213"/>
      <c r="F1398" s="214"/>
      <c r="G1398" s="215"/>
    </row>
    <row r="1399" spans="1:8" s="1088" customFormat="1" ht="15" x14ac:dyDescent="0.25">
      <c r="A1399" s="216" t="s">
        <v>115</v>
      </c>
      <c r="B1399" s="212"/>
      <c r="C1399" s="211"/>
      <c r="D1399" s="212"/>
      <c r="E1399" s="213"/>
      <c r="F1399" s="214"/>
      <c r="G1399" s="215"/>
    </row>
    <row r="1400" spans="1:8" s="1088" customFormat="1" ht="14.25" x14ac:dyDescent="0.2">
      <c r="A1400" s="209"/>
      <c r="B1400" s="212"/>
      <c r="C1400" s="211"/>
      <c r="D1400" s="212"/>
      <c r="E1400" s="213"/>
      <c r="F1400" s="214"/>
      <c r="G1400" s="215"/>
    </row>
    <row r="1401" spans="1:8" s="1088" customFormat="1" ht="15" x14ac:dyDescent="0.25">
      <c r="A1401" s="1075" t="s">
        <v>116</v>
      </c>
      <c r="B1401" s="1076"/>
      <c r="C1401" s="217" t="s">
        <v>117</v>
      </c>
      <c r="D1401" s="1075" t="s">
        <v>118</v>
      </c>
      <c r="E1401" s="218" t="s">
        <v>39</v>
      </c>
      <c r="F1401" s="1075" t="s">
        <v>119</v>
      </c>
      <c r="G1401" s="219" t="s">
        <v>120</v>
      </c>
    </row>
    <row r="1402" spans="1:8" s="1088" customFormat="1" ht="14.25" x14ac:dyDescent="0.2">
      <c r="A1402" s="209"/>
      <c r="B1402" s="286"/>
      <c r="C1402" s="220"/>
      <c r="D1402" s="261"/>
      <c r="E1402" s="276"/>
      <c r="F1402" s="222"/>
      <c r="G1402" s="224"/>
    </row>
    <row r="1403" spans="1:8" s="1088" customFormat="1" ht="14.25" x14ac:dyDescent="0.2">
      <c r="A1403" s="1060"/>
      <c r="B1403" s="1068"/>
      <c r="C1403" s="225"/>
      <c r="D1403" s="221"/>
      <c r="E1403" s="226"/>
      <c r="F1403" s="227"/>
      <c r="G1403" s="228">
        <f>D1403*E1403</f>
        <v>0</v>
      </c>
    </row>
    <row r="1404" spans="1:8" s="1088" customFormat="1" ht="14.25" x14ac:dyDescent="0.2">
      <c r="A1404" s="1060"/>
      <c r="B1404" s="1068"/>
      <c r="C1404" s="229"/>
      <c r="D1404" s="221"/>
      <c r="E1404" s="226"/>
      <c r="F1404" s="227"/>
      <c r="G1404" s="228">
        <f>D1404*E1404</f>
        <v>0</v>
      </c>
    </row>
    <row r="1405" spans="1:8" s="1088" customFormat="1" ht="14.25" x14ac:dyDescent="0.2">
      <c r="A1405" s="1060"/>
      <c r="B1405" s="1068"/>
      <c r="C1405" s="225"/>
      <c r="D1405" s="221"/>
      <c r="E1405" s="226"/>
      <c r="F1405" s="227"/>
      <c r="G1405" s="228">
        <f>D1405*E1405</f>
        <v>0</v>
      </c>
    </row>
    <row r="1406" spans="1:8" s="1088" customFormat="1" ht="14.25" x14ac:dyDescent="0.2">
      <c r="A1406" s="1069"/>
      <c r="B1406" s="1070"/>
      <c r="C1406" s="230"/>
      <c r="D1406" s="231"/>
      <c r="E1406" s="232"/>
      <c r="F1406" s="233"/>
      <c r="G1406" s="228">
        <f>D1406*E1406</f>
        <v>0</v>
      </c>
    </row>
    <row r="1407" spans="1:8" s="1088" customFormat="1" ht="15" x14ac:dyDescent="0.25">
      <c r="A1407" s="1073"/>
      <c r="B1407" s="210"/>
      <c r="C1407" s="211"/>
      <c r="D1407" s="212"/>
      <c r="E1407" s="212"/>
      <c r="F1407" s="234" t="s">
        <v>121</v>
      </c>
      <c r="G1407" s="231">
        <f>+SUM(G1402:G1406)</f>
        <v>0</v>
      </c>
    </row>
    <row r="1408" spans="1:8" s="1088" customFormat="1" ht="14.25" x14ac:dyDescent="0.2">
      <c r="A1408" s="209"/>
      <c r="B1408" s="212"/>
      <c r="C1408" s="211" t="s">
        <v>123</v>
      </c>
      <c r="D1408" s="212"/>
      <c r="E1408" s="213"/>
      <c r="F1408" s="214"/>
      <c r="G1408" s="215"/>
    </row>
    <row r="1409" spans="1:7" s="1088" customFormat="1" ht="15" x14ac:dyDescent="0.25">
      <c r="A1409" s="216" t="s">
        <v>122</v>
      </c>
      <c r="B1409" s="212"/>
      <c r="C1409" s="211" t="s">
        <v>123</v>
      </c>
      <c r="D1409" s="212"/>
      <c r="E1409" s="213"/>
      <c r="F1409" s="214"/>
      <c r="G1409" s="215"/>
    </row>
    <row r="1410" spans="1:7" s="1088" customFormat="1" ht="14.25" x14ac:dyDescent="0.2">
      <c r="A1410" s="209"/>
      <c r="B1410" s="212"/>
      <c r="C1410" s="211"/>
      <c r="D1410" s="212"/>
      <c r="E1410" s="213"/>
      <c r="F1410" s="214"/>
      <c r="G1410" s="215"/>
    </row>
    <row r="1411" spans="1:7" s="1088" customFormat="1" ht="15" x14ac:dyDescent="0.25">
      <c r="A1411" s="1071" t="s">
        <v>116</v>
      </c>
      <c r="B1411" s="1072"/>
      <c r="C1411" s="235" t="s">
        <v>117</v>
      </c>
      <c r="D1411" s="236" t="s">
        <v>124</v>
      </c>
      <c r="E1411" s="236" t="s">
        <v>125</v>
      </c>
      <c r="F1411" s="237" t="s">
        <v>126</v>
      </c>
      <c r="G1411" s="238" t="s">
        <v>120</v>
      </c>
    </row>
    <row r="1412" spans="1:7" s="1088" customFormat="1" ht="28.5" x14ac:dyDescent="0.2">
      <c r="A1412" s="1066" t="s">
        <v>127</v>
      </c>
      <c r="B1412" s="1067"/>
      <c r="C1412" s="239" t="s">
        <v>128</v>
      </c>
      <c r="D1412" s="240"/>
      <c r="E1412" s="241"/>
      <c r="F1412" s="463"/>
      <c r="G1412" s="242">
        <f>G1426*0.05</f>
        <v>1108.4796800000001</v>
      </c>
    </row>
    <row r="1413" spans="1:7" s="1088" customFormat="1" ht="14.25" x14ac:dyDescent="0.2">
      <c r="A1413" s="1073" t="s">
        <v>174</v>
      </c>
      <c r="B1413" s="1074"/>
      <c r="C1413" s="243" t="s">
        <v>176</v>
      </c>
      <c r="D1413" s="221">
        <v>450000</v>
      </c>
      <c r="E1413" s="244"/>
      <c r="F1413" s="463">
        <v>30</v>
      </c>
      <c r="G1413" s="224">
        <f>D1413/F1413</f>
        <v>15000</v>
      </c>
    </row>
    <row r="1414" spans="1:7" s="1088" customFormat="1" ht="14.25" x14ac:dyDescent="0.2">
      <c r="A1414" s="1073"/>
      <c r="B1414" s="1074"/>
      <c r="C1414" s="243"/>
      <c r="D1414" s="221"/>
      <c r="E1414" s="244"/>
      <c r="F1414" s="222"/>
      <c r="G1414" s="224"/>
    </row>
    <row r="1415" spans="1:7" s="1088" customFormat="1" ht="14.25" x14ac:dyDescent="0.2">
      <c r="A1415" s="209"/>
      <c r="B1415" s="245"/>
      <c r="C1415" s="246"/>
      <c r="D1415" s="221"/>
      <c r="E1415" s="247"/>
      <c r="F1415" s="222"/>
      <c r="G1415" s="248"/>
    </row>
    <row r="1416" spans="1:7" s="1088" customFormat="1" ht="14.25" x14ac:dyDescent="0.2">
      <c r="A1416" s="249"/>
      <c r="B1416" s="250"/>
      <c r="C1416" s="251"/>
      <c r="D1416" s="252"/>
      <c r="E1416" s="253"/>
      <c r="F1416" s="254"/>
      <c r="G1416" s="255"/>
    </row>
    <row r="1417" spans="1:7" s="1088" customFormat="1" ht="15" x14ac:dyDescent="0.25">
      <c r="A1417" s="209"/>
      <c r="B1417" s="214"/>
      <c r="C1417" s="256"/>
      <c r="D1417" s="214"/>
      <c r="E1417" s="212"/>
      <c r="F1417" s="257" t="s">
        <v>121</v>
      </c>
      <c r="G1417" s="258">
        <f>+SUM(G1412:G1416)</f>
        <v>16108.47968</v>
      </c>
    </row>
    <row r="1418" spans="1:7" s="1088" customFormat="1" ht="14.25" x14ac:dyDescent="0.2">
      <c r="A1418" s="209"/>
      <c r="B1418" s="212"/>
      <c r="C1418" s="211"/>
      <c r="D1418" s="212"/>
      <c r="E1418" s="213"/>
      <c r="F1418" s="212"/>
      <c r="G1418" s="215"/>
    </row>
    <row r="1419" spans="1:7" s="1088" customFormat="1" ht="15" x14ac:dyDescent="0.25">
      <c r="A1419" s="216" t="s">
        <v>130</v>
      </c>
      <c r="B1419" s="212"/>
      <c r="C1419" s="211"/>
      <c r="D1419" s="212"/>
      <c r="E1419" s="213"/>
      <c r="F1419" s="214"/>
      <c r="G1419" s="215"/>
    </row>
    <row r="1420" spans="1:7" s="1088" customFormat="1" ht="14.25" x14ac:dyDescent="0.2">
      <c r="A1420" s="209"/>
      <c r="B1420" s="212"/>
      <c r="C1420" s="211"/>
      <c r="D1420" s="212"/>
      <c r="E1420" s="213"/>
      <c r="F1420" s="214"/>
      <c r="G1420" s="215"/>
    </row>
    <row r="1421" spans="1:7" s="1088" customFormat="1" ht="15" x14ac:dyDescent="0.25">
      <c r="A1421" s="1071" t="s">
        <v>116</v>
      </c>
      <c r="B1421" s="1072"/>
      <c r="C1421" s="236" t="s">
        <v>131</v>
      </c>
      <c r="D1421" s="235" t="s">
        <v>132</v>
      </c>
      <c r="E1421" s="236" t="s">
        <v>133</v>
      </c>
      <c r="F1421" s="237" t="s">
        <v>126</v>
      </c>
      <c r="G1421" s="238" t="s">
        <v>134</v>
      </c>
    </row>
    <row r="1422" spans="1:7" s="1088" customFormat="1" ht="14.25" x14ac:dyDescent="0.2">
      <c r="A1422" s="209" t="s">
        <v>10</v>
      </c>
      <c r="B1422" s="259"/>
      <c r="C1422" s="260">
        <f>M2</f>
        <v>22981.8</v>
      </c>
      <c r="D1422" s="261">
        <f>N2</f>
        <v>1.76</v>
      </c>
      <c r="E1422" s="276">
        <f>C1422*D1422</f>
        <v>40447.968000000001</v>
      </c>
      <c r="F1422" s="222">
        <v>0.2</v>
      </c>
      <c r="G1422" s="224">
        <f>F1422*E1422</f>
        <v>8089.5936000000002</v>
      </c>
    </row>
    <row r="1423" spans="1:7" s="1088" customFormat="1" ht="14.25" x14ac:dyDescent="0.2">
      <c r="A1423" s="209" t="s">
        <v>140</v>
      </c>
      <c r="B1423" s="259"/>
      <c r="C1423" s="260">
        <f>M3</f>
        <v>40000</v>
      </c>
      <c r="D1423" s="261">
        <f>N3</f>
        <v>1.76</v>
      </c>
      <c r="E1423" s="276">
        <f>C1423*D1423</f>
        <v>70400</v>
      </c>
      <c r="F1423" s="222">
        <v>0.2</v>
      </c>
      <c r="G1423" s="224">
        <f>F1423*E1423</f>
        <v>14080</v>
      </c>
    </row>
    <row r="1424" spans="1:7" s="1088" customFormat="1" ht="14.25" x14ac:dyDescent="0.2">
      <c r="A1424" s="209"/>
      <c r="B1424" s="245"/>
      <c r="C1424" s="265"/>
      <c r="D1424" s="246"/>
      <c r="E1424" s="265"/>
      <c r="F1424" s="266"/>
      <c r="G1424" s="267"/>
    </row>
    <row r="1425" spans="1:7" s="1088" customFormat="1" ht="14.25" x14ac:dyDescent="0.2">
      <c r="A1425" s="249"/>
      <c r="B1425" s="250"/>
      <c r="C1425" s="252"/>
      <c r="D1425" s="251"/>
      <c r="E1425" s="252"/>
      <c r="F1425" s="254"/>
      <c r="G1425" s="268"/>
    </row>
    <row r="1426" spans="1:7" s="1088" customFormat="1" ht="15" x14ac:dyDescent="0.25">
      <c r="A1426" s="209"/>
      <c r="B1426" s="212"/>
      <c r="C1426" s="211"/>
      <c r="D1426" s="212"/>
      <c r="E1426" s="269"/>
      <c r="F1426" s="269" t="s">
        <v>121</v>
      </c>
      <c r="G1426" s="270">
        <f>+SUM(G1422:G1425)</f>
        <v>22169.5936</v>
      </c>
    </row>
    <row r="1427" spans="1:7" s="1088" customFormat="1" ht="15" x14ac:dyDescent="0.25">
      <c r="A1427" s="209"/>
      <c r="B1427" s="212"/>
      <c r="C1427" s="211"/>
      <c r="D1427" s="212"/>
      <c r="E1427" s="257"/>
      <c r="F1427" s="257"/>
      <c r="G1427" s="271"/>
    </row>
    <row r="1428" spans="1:7" s="1088" customFormat="1" ht="15" x14ac:dyDescent="0.25">
      <c r="A1428" s="216" t="s">
        <v>135</v>
      </c>
      <c r="B1428" s="212"/>
      <c r="C1428" s="211"/>
      <c r="D1428" s="212"/>
      <c r="E1428" s="213"/>
      <c r="F1428" s="214"/>
      <c r="G1428" s="215"/>
    </row>
    <row r="1429" spans="1:7" s="1088" customFormat="1" ht="14.25" x14ac:dyDescent="0.2">
      <c r="A1429" s="209"/>
      <c r="B1429" s="212"/>
      <c r="C1429" s="211"/>
      <c r="D1429" s="212"/>
      <c r="E1429" s="213"/>
      <c r="F1429" s="214"/>
      <c r="G1429" s="215"/>
    </row>
    <row r="1430" spans="1:7" s="1088" customFormat="1" ht="15" x14ac:dyDescent="0.25">
      <c r="A1430" s="1071" t="s">
        <v>116</v>
      </c>
      <c r="B1430" s="1072"/>
      <c r="C1430" s="236" t="s">
        <v>117</v>
      </c>
      <c r="D1430" s="235" t="s">
        <v>136</v>
      </c>
      <c r="E1430" s="236" t="s">
        <v>124</v>
      </c>
      <c r="F1430" s="237" t="s">
        <v>126</v>
      </c>
      <c r="G1430" s="238" t="s">
        <v>134</v>
      </c>
    </row>
    <row r="1431" spans="1:7" s="1088" customFormat="1" ht="14.25" x14ac:dyDescent="0.2">
      <c r="A1431" s="209" t="s">
        <v>175</v>
      </c>
      <c r="B1431" s="286"/>
      <c r="C1431" s="287" t="s">
        <v>79</v>
      </c>
      <c r="D1431" s="261"/>
      <c r="E1431" s="276">
        <v>68000</v>
      </c>
      <c r="F1431" s="222">
        <f>1/30</f>
        <v>3.3333333333333333E-2</v>
      </c>
      <c r="G1431" s="224">
        <f>F1431*E1431</f>
        <v>2266.6666666666665</v>
      </c>
    </row>
    <row r="1432" spans="1:7" s="1088" customFormat="1" ht="14.25" x14ac:dyDescent="0.2">
      <c r="A1432" s="209"/>
      <c r="B1432" s="275"/>
      <c r="C1432" s="260"/>
      <c r="D1432" s="261"/>
      <c r="E1432" s="276"/>
      <c r="F1432" s="222"/>
      <c r="G1432" s="224"/>
    </row>
    <row r="1433" spans="1:7" s="1088" customFormat="1" ht="14.25" x14ac:dyDescent="0.2">
      <c r="A1433" s="209"/>
      <c r="B1433" s="259"/>
      <c r="C1433" s="260"/>
      <c r="D1433" s="261"/>
      <c r="E1433" s="276"/>
      <c r="F1433" s="222"/>
      <c r="G1433" s="224"/>
    </row>
    <row r="1434" spans="1:7" s="1088" customFormat="1" ht="14.25" x14ac:dyDescent="0.2">
      <c r="A1434" s="209"/>
      <c r="B1434" s="259"/>
      <c r="C1434" s="260"/>
      <c r="D1434" s="261"/>
      <c r="E1434" s="276"/>
      <c r="F1434" s="222"/>
      <c r="G1434" s="224"/>
    </row>
    <row r="1435" spans="1:7" s="1088" customFormat="1" ht="14.25" x14ac:dyDescent="0.2">
      <c r="A1435" s="209"/>
      <c r="B1435" s="245"/>
      <c r="C1435" s="265"/>
      <c r="D1435" s="246"/>
      <c r="E1435" s="265"/>
      <c r="F1435" s="266"/>
      <c r="G1435" s="267"/>
    </row>
    <row r="1436" spans="1:7" s="1088" customFormat="1" ht="14.25" x14ac:dyDescent="0.2">
      <c r="A1436" s="249"/>
      <c r="B1436" s="250"/>
      <c r="C1436" s="252"/>
      <c r="D1436" s="251"/>
      <c r="E1436" s="252"/>
      <c r="F1436" s="254"/>
      <c r="G1436" s="268"/>
    </row>
    <row r="1437" spans="1:7" s="1088" customFormat="1" ht="15" x14ac:dyDescent="0.25">
      <c r="A1437" s="209"/>
      <c r="B1437" s="212"/>
      <c r="C1437" s="211"/>
      <c r="D1437" s="212"/>
      <c r="E1437" s="269"/>
      <c r="F1437" s="269" t="s">
        <v>121</v>
      </c>
      <c r="G1437" s="270">
        <f>+SUM(G1431:G1436)</f>
        <v>2266.6666666666665</v>
      </c>
    </row>
    <row r="1438" spans="1:7" s="1088" customFormat="1" ht="14.25" x14ac:dyDescent="0.2">
      <c r="A1438" s="209"/>
      <c r="B1438" s="212"/>
      <c r="C1438" s="211"/>
      <c r="D1438" s="212"/>
      <c r="E1438" s="213"/>
      <c r="F1438" s="214"/>
      <c r="G1438" s="271"/>
    </row>
    <row r="1439" spans="1:7" s="1088" customFormat="1" ht="15" x14ac:dyDescent="0.25">
      <c r="A1439" s="277"/>
      <c r="B1439" s="278"/>
      <c r="C1439" s="278"/>
      <c r="D1439" s="278"/>
      <c r="E1439" s="279"/>
      <c r="F1439" s="280" t="s">
        <v>137</v>
      </c>
      <c r="G1439" s="283">
        <f>+ROUND(G1407+G1417+G1426+G1437,0)</f>
        <v>40545</v>
      </c>
    </row>
    <row r="1440" spans="1:7" s="1088" customFormat="1" ht="14.25" x14ac:dyDescent="0.2">
      <c r="A1440" s="277"/>
      <c r="B1440" s="278"/>
      <c r="C1440" s="278"/>
      <c r="D1440" s="278"/>
      <c r="E1440" s="279"/>
      <c r="F1440" s="279"/>
      <c r="G1440" s="279"/>
    </row>
    <row r="1441" spans="1:7" s="1088" customFormat="1" ht="15" x14ac:dyDescent="0.25">
      <c r="A1441" s="145" t="s">
        <v>160</v>
      </c>
      <c r="B1441" s="1262" t="s">
        <v>161</v>
      </c>
      <c r="C1441" s="1263"/>
      <c r="D1441" s="1263"/>
      <c r="E1441" s="1263"/>
      <c r="F1441" s="1264"/>
      <c r="G1441" s="146" t="s">
        <v>2</v>
      </c>
    </row>
    <row r="1442" spans="1:7" s="1088" customFormat="1" ht="15" x14ac:dyDescent="0.25">
      <c r="A1442" s="285">
        <f>'FORMATO PROPUESTA ECONÓMICA'!A51</f>
        <v>6.19</v>
      </c>
      <c r="B1442" s="1265" t="str">
        <f>'FORMATO PROPUESTA ECONÓMICA'!B51</f>
        <v>Reduccion PEAD PN10 de 110mm a 90mm Termofusion</v>
      </c>
      <c r="C1442" s="1266"/>
      <c r="D1442" s="1266"/>
      <c r="E1442" s="1266"/>
      <c r="F1442" s="1267"/>
      <c r="G1442" s="187" t="str">
        <f>'FORMATO PROPUESTA ECONÓMICA'!C51</f>
        <v>und</v>
      </c>
    </row>
    <row r="1443" spans="1:7" s="1088" customFormat="1" ht="14.25" x14ac:dyDescent="0.2">
      <c r="A1443" s="209"/>
      <c r="B1443" s="210"/>
      <c r="C1443" s="211"/>
      <c r="D1443" s="212"/>
      <c r="E1443" s="213"/>
      <c r="F1443" s="214"/>
      <c r="G1443" s="215"/>
    </row>
    <row r="1444" spans="1:7" s="1088" customFormat="1" ht="15" x14ac:dyDescent="0.25">
      <c r="A1444" s="216" t="s">
        <v>115</v>
      </c>
      <c r="B1444" s="212"/>
      <c r="C1444" s="211"/>
      <c r="D1444" s="212"/>
      <c r="E1444" s="213"/>
      <c r="F1444" s="214"/>
      <c r="G1444" s="215"/>
    </row>
    <row r="1445" spans="1:7" s="1088" customFormat="1" ht="14.25" x14ac:dyDescent="0.2">
      <c r="A1445" s="209"/>
      <c r="B1445" s="212"/>
      <c r="C1445" s="211"/>
      <c r="D1445" s="212"/>
      <c r="E1445" s="213"/>
      <c r="F1445" s="214"/>
      <c r="G1445" s="215"/>
    </row>
    <row r="1446" spans="1:7" s="1088" customFormat="1" ht="15" x14ac:dyDescent="0.25">
      <c r="A1446" s="1075" t="s">
        <v>116</v>
      </c>
      <c r="B1446" s="1076"/>
      <c r="C1446" s="217" t="s">
        <v>117</v>
      </c>
      <c r="D1446" s="1075" t="s">
        <v>118</v>
      </c>
      <c r="E1446" s="218" t="s">
        <v>39</v>
      </c>
      <c r="F1446" s="1075" t="s">
        <v>119</v>
      </c>
      <c r="G1446" s="219" t="s">
        <v>120</v>
      </c>
    </row>
    <row r="1447" spans="1:7" s="1088" customFormat="1" ht="15" customHeight="1" x14ac:dyDescent="0.2">
      <c r="A1447" s="209"/>
      <c r="B1447" s="286"/>
      <c r="C1447" s="220"/>
      <c r="D1447" s="261"/>
      <c r="E1447" s="276"/>
      <c r="F1447" s="222"/>
      <c r="G1447" s="224"/>
    </row>
    <row r="1448" spans="1:7" s="1088" customFormat="1" ht="14.25" x14ac:dyDescent="0.2">
      <c r="A1448" s="1060"/>
      <c r="B1448" s="1068"/>
      <c r="C1448" s="225"/>
      <c r="D1448" s="221"/>
      <c r="E1448" s="226"/>
      <c r="F1448" s="227"/>
      <c r="G1448" s="228">
        <f>D1448*E1448</f>
        <v>0</v>
      </c>
    </row>
    <row r="1449" spans="1:7" s="1088" customFormat="1" ht="14.25" x14ac:dyDescent="0.2">
      <c r="A1449" s="1060"/>
      <c r="B1449" s="1068"/>
      <c r="C1449" s="229"/>
      <c r="D1449" s="221"/>
      <c r="E1449" s="226"/>
      <c r="F1449" s="227"/>
      <c r="G1449" s="228">
        <f>D1449*E1449</f>
        <v>0</v>
      </c>
    </row>
    <row r="1450" spans="1:7" s="1088" customFormat="1" ht="14.25" x14ac:dyDescent="0.2">
      <c r="A1450" s="1060"/>
      <c r="B1450" s="1068"/>
      <c r="C1450" s="225"/>
      <c r="D1450" s="221"/>
      <c r="E1450" s="226"/>
      <c r="F1450" s="227"/>
      <c r="G1450" s="228">
        <f>D1450*E1450</f>
        <v>0</v>
      </c>
    </row>
    <row r="1451" spans="1:7" s="1088" customFormat="1" ht="14.25" x14ac:dyDescent="0.2">
      <c r="A1451" s="1069"/>
      <c r="B1451" s="1070"/>
      <c r="C1451" s="230"/>
      <c r="D1451" s="231"/>
      <c r="E1451" s="232"/>
      <c r="F1451" s="233"/>
      <c r="G1451" s="228">
        <f>D1451*E1451</f>
        <v>0</v>
      </c>
    </row>
    <row r="1452" spans="1:7" s="1088" customFormat="1" ht="15" x14ac:dyDescent="0.25">
      <c r="A1452" s="1073"/>
      <c r="B1452" s="210"/>
      <c r="C1452" s="211"/>
      <c r="D1452" s="212"/>
      <c r="E1452" s="212"/>
      <c r="F1452" s="234" t="s">
        <v>121</v>
      </c>
      <c r="G1452" s="231">
        <f>+SUM(G1447:G1451)</f>
        <v>0</v>
      </c>
    </row>
    <row r="1453" spans="1:7" s="1088" customFormat="1" ht="14.25" x14ac:dyDescent="0.2">
      <c r="A1453" s="209"/>
      <c r="B1453" s="212"/>
      <c r="C1453" s="211" t="s">
        <v>123</v>
      </c>
      <c r="D1453" s="212"/>
      <c r="E1453" s="213"/>
      <c r="F1453" s="214"/>
      <c r="G1453" s="215"/>
    </row>
    <row r="1454" spans="1:7" s="1088" customFormat="1" ht="15" x14ac:dyDescent="0.25">
      <c r="A1454" s="216" t="s">
        <v>122</v>
      </c>
      <c r="B1454" s="212"/>
      <c r="C1454" s="211" t="s">
        <v>123</v>
      </c>
      <c r="D1454" s="212"/>
      <c r="E1454" s="213"/>
      <c r="F1454" s="214"/>
      <c r="G1454" s="215"/>
    </row>
    <row r="1455" spans="1:7" s="1088" customFormat="1" ht="14.25" x14ac:dyDescent="0.2">
      <c r="A1455" s="209"/>
      <c r="B1455" s="212"/>
      <c r="C1455" s="211"/>
      <c r="D1455" s="212"/>
      <c r="E1455" s="213"/>
      <c r="F1455" s="214"/>
      <c r="G1455" s="215"/>
    </row>
    <row r="1456" spans="1:7" s="1088" customFormat="1" ht="15" x14ac:dyDescent="0.25">
      <c r="A1456" s="1071" t="s">
        <v>116</v>
      </c>
      <c r="B1456" s="1072"/>
      <c r="C1456" s="235" t="s">
        <v>117</v>
      </c>
      <c r="D1456" s="236" t="s">
        <v>124</v>
      </c>
      <c r="E1456" s="236" t="s">
        <v>125</v>
      </c>
      <c r="F1456" s="237" t="s">
        <v>126</v>
      </c>
      <c r="G1456" s="238" t="s">
        <v>120</v>
      </c>
    </row>
    <row r="1457" spans="1:7" s="1088" customFormat="1" ht="28.5" x14ac:dyDescent="0.2">
      <c r="A1457" s="1066" t="s">
        <v>127</v>
      </c>
      <c r="B1457" s="1067"/>
      <c r="C1457" s="239" t="s">
        <v>128</v>
      </c>
      <c r="D1457" s="240"/>
      <c r="E1457" s="241"/>
      <c r="F1457" s="222"/>
      <c r="G1457" s="242">
        <f>G1471*0.05</f>
        <v>1108.4796800000001</v>
      </c>
    </row>
    <row r="1458" spans="1:7" s="1088" customFormat="1" ht="14.25" x14ac:dyDescent="0.2">
      <c r="A1458" s="1073" t="s">
        <v>174</v>
      </c>
      <c r="B1458" s="1074"/>
      <c r="C1458" s="243" t="s">
        <v>176</v>
      </c>
      <c r="D1458" s="221">
        <v>450000</v>
      </c>
      <c r="E1458" s="244"/>
      <c r="F1458" s="222">
        <v>20</v>
      </c>
      <c r="G1458" s="224">
        <f>D1458/F1458</f>
        <v>22500</v>
      </c>
    </row>
    <row r="1459" spans="1:7" s="1088" customFormat="1" ht="14.25" x14ac:dyDescent="0.2">
      <c r="A1459" s="1073"/>
      <c r="B1459" s="1074"/>
      <c r="C1459" s="243"/>
      <c r="D1459" s="221"/>
      <c r="E1459" s="244"/>
      <c r="F1459" s="222"/>
      <c r="G1459" s="224"/>
    </row>
    <row r="1460" spans="1:7" s="1088" customFormat="1" ht="14.25" x14ac:dyDescent="0.2">
      <c r="A1460" s="209"/>
      <c r="B1460" s="245"/>
      <c r="C1460" s="246"/>
      <c r="D1460" s="221"/>
      <c r="E1460" s="247"/>
      <c r="F1460" s="222"/>
      <c r="G1460" s="248"/>
    </row>
    <row r="1461" spans="1:7" s="1088" customFormat="1" ht="14.25" x14ac:dyDescent="0.2">
      <c r="A1461" s="249"/>
      <c r="B1461" s="250"/>
      <c r="C1461" s="251"/>
      <c r="D1461" s="252"/>
      <c r="E1461" s="253"/>
      <c r="F1461" s="254"/>
      <c r="G1461" s="255"/>
    </row>
    <row r="1462" spans="1:7" s="1088" customFormat="1" ht="15" x14ac:dyDescent="0.25">
      <c r="A1462" s="209"/>
      <c r="B1462" s="214"/>
      <c r="C1462" s="256"/>
      <c r="D1462" s="214"/>
      <c r="E1462" s="212"/>
      <c r="F1462" s="257" t="s">
        <v>121</v>
      </c>
      <c r="G1462" s="258">
        <f>+SUM(G1457:G1461)</f>
        <v>23608.47968</v>
      </c>
    </row>
    <row r="1463" spans="1:7" s="1088" customFormat="1" ht="14.25" x14ac:dyDescent="0.2">
      <c r="A1463" s="209"/>
      <c r="B1463" s="212"/>
      <c r="C1463" s="211"/>
      <c r="D1463" s="212"/>
      <c r="E1463" s="213"/>
      <c r="F1463" s="212"/>
      <c r="G1463" s="215"/>
    </row>
    <row r="1464" spans="1:7" s="1088" customFormat="1" ht="15" x14ac:dyDescent="0.25">
      <c r="A1464" s="216" t="s">
        <v>130</v>
      </c>
      <c r="B1464" s="212"/>
      <c r="C1464" s="211"/>
      <c r="D1464" s="212"/>
      <c r="E1464" s="213"/>
      <c r="F1464" s="214"/>
      <c r="G1464" s="215"/>
    </row>
    <row r="1465" spans="1:7" s="1088" customFormat="1" ht="14.25" x14ac:dyDescent="0.2">
      <c r="A1465" s="209"/>
      <c r="B1465" s="212"/>
      <c r="C1465" s="211"/>
      <c r="D1465" s="212"/>
      <c r="E1465" s="213"/>
      <c r="F1465" s="214"/>
      <c r="G1465" s="215"/>
    </row>
    <row r="1466" spans="1:7" s="1088" customFormat="1" ht="15" x14ac:dyDescent="0.25">
      <c r="A1466" s="1071" t="s">
        <v>116</v>
      </c>
      <c r="B1466" s="1072"/>
      <c r="C1466" s="236" t="s">
        <v>131</v>
      </c>
      <c r="D1466" s="235" t="s">
        <v>132</v>
      </c>
      <c r="E1466" s="236" t="s">
        <v>133</v>
      </c>
      <c r="F1466" s="237" t="s">
        <v>126</v>
      </c>
      <c r="G1466" s="238" t="s">
        <v>134</v>
      </c>
    </row>
    <row r="1467" spans="1:7" s="1088" customFormat="1" ht="14.25" x14ac:dyDescent="0.2">
      <c r="A1467" s="209" t="s">
        <v>10</v>
      </c>
      <c r="B1467" s="259"/>
      <c r="C1467" s="260">
        <f>M2</f>
        <v>22981.8</v>
      </c>
      <c r="D1467" s="261">
        <f>N3</f>
        <v>1.76</v>
      </c>
      <c r="E1467" s="276">
        <f>C1467*D1467</f>
        <v>40447.968000000001</v>
      </c>
      <c r="F1467" s="222">
        <f>1/5</f>
        <v>0.2</v>
      </c>
      <c r="G1467" s="224">
        <f>F1467*E1467</f>
        <v>8089.5936000000002</v>
      </c>
    </row>
    <row r="1468" spans="1:7" s="1088" customFormat="1" ht="14.25" x14ac:dyDescent="0.2">
      <c r="A1468" s="209" t="s">
        <v>140</v>
      </c>
      <c r="B1468" s="259"/>
      <c r="C1468" s="260">
        <f>M3</f>
        <v>40000</v>
      </c>
      <c r="D1468" s="261">
        <f>N3</f>
        <v>1.76</v>
      </c>
      <c r="E1468" s="276">
        <f>C1468*D1468</f>
        <v>70400</v>
      </c>
      <c r="F1468" s="222">
        <f>1/5</f>
        <v>0.2</v>
      </c>
      <c r="G1468" s="224">
        <f>F1468*E1468</f>
        <v>14080</v>
      </c>
    </row>
    <row r="1469" spans="1:7" s="1088" customFormat="1" ht="14.25" x14ac:dyDescent="0.2">
      <c r="A1469" s="209"/>
      <c r="B1469" s="245"/>
      <c r="C1469" s="265"/>
      <c r="D1469" s="246"/>
      <c r="E1469" s="265"/>
      <c r="F1469" s="266"/>
      <c r="G1469" s="267"/>
    </row>
    <row r="1470" spans="1:7" s="1088" customFormat="1" ht="14.25" x14ac:dyDescent="0.2">
      <c r="A1470" s="249"/>
      <c r="B1470" s="250"/>
      <c r="C1470" s="252"/>
      <c r="D1470" s="251"/>
      <c r="E1470" s="252"/>
      <c r="F1470" s="254"/>
      <c r="G1470" s="268"/>
    </row>
    <row r="1471" spans="1:7" s="1088" customFormat="1" ht="15" x14ac:dyDescent="0.25">
      <c r="A1471" s="209"/>
      <c r="B1471" s="212"/>
      <c r="C1471" s="211"/>
      <c r="D1471" s="212"/>
      <c r="E1471" s="269"/>
      <c r="F1471" s="269" t="s">
        <v>121</v>
      </c>
      <c r="G1471" s="270">
        <f>+SUM(G1467:G1470)</f>
        <v>22169.5936</v>
      </c>
    </row>
    <row r="1472" spans="1:7" s="1088" customFormat="1" ht="15" x14ac:dyDescent="0.25">
      <c r="A1472" s="209"/>
      <c r="B1472" s="212"/>
      <c r="C1472" s="211"/>
      <c r="D1472" s="212"/>
      <c r="E1472" s="257"/>
      <c r="F1472" s="257"/>
      <c r="G1472" s="271"/>
    </row>
    <row r="1473" spans="1:8" s="1088" customFormat="1" ht="15" x14ac:dyDescent="0.25">
      <c r="A1473" s="216" t="s">
        <v>135</v>
      </c>
      <c r="B1473" s="212"/>
      <c r="C1473" s="211"/>
      <c r="D1473" s="212"/>
      <c r="E1473" s="213"/>
      <c r="F1473" s="214"/>
      <c r="G1473" s="215"/>
    </row>
    <row r="1474" spans="1:8" s="1088" customFormat="1" ht="14.25" x14ac:dyDescent="0.2">
      <c r="A1474" s="209"/>
      <c r="B1474" s="212"/>
      <c r="C1474" s="211"/>
      <c r="D1474" s="212"/>
      <c r="E1474" s="213"/>
      <c r="F1474" s="214"/>
      <c r="G1474" s="215"/>
    </row>
    <row r="1475" spans="1:8" s="1088" customFormat="1" ht="15" x14ac:dyDescent="0.25">
      <c r="A1475" s="1071" t="s">
        <v>116</v>
      </c>
      <c r="B1475" s="1072"/>
      <c r="C1475" s="236" t="s">
        <v>117</v>
      </c>
      <c r="D1475" s="235" t="s">
        <v>136</v>
      </c>
      <c r="E1475" s="236" t="s">
        <v>124</v>
      </c>
      <c r="F1475" s="237" t="s">
        <v>126</v>
      </c>
      <c r="G1475" s="238" t="s">
        <v>134</v>
      </c>
    </row>
    <row r="1476" spans="1:8" s="1088" customFormat="1" ht="14.25" x14ac:dyDescent="0.2">
      <c r="A1476" s="209" t="s">
        <v>175</v>
      </c>
      <c r="B1476" s="286"/>
      <c r="C1476" s="287" t="s">
        <v>79</v>
      </c>
      <c r="D1476" s="261"/>
      <c r="E1476" s="276">
        <v>68000</v>
      </c>
      <c r="F1476" s="222">
        <f>1/10</f>
        <v>0.1</v>
      </c>
      <c r="G1476" s="224">
        <f>F1476*E1476</f>
        <v>6800</v>
      </c>
    </row>
    <row r="1477" spans="1:8" s="1088" customFormat="1" ht="14.25" x14ac:dyDescent="0.2">
      <c r="A1477" s="209"/>
      <c r="B1477" s="275"/>
      <c r="C1477" s="260"/>
      <c r="D1477" s="261"/>
      <c r="E1477" s="276"/>
      <c r="F1477" s="222"/>
      <c r="G1477" s="224"/>
    </row>
    <row r="1478" spans="1:8" s="1088" customFormat="1" ht="14.25" x14ac:dyDescent="0.2">
      <c r="A1478" s="209"/>
      <c r="B1478" s="259"/>
      <c r="C1478" s="260"/>
      <c r="D1478" s="261"/>
      <c r="E1478" s="276"/>
      <c r="F1478" s="222"/>
      <c r="G1478" s="224"/>
    </row>
    <row r="1479" spans="1:8" s="1088" customFormat="1" ht="14.25" x14ac:dyDescent="0.2">
      <c r="A1479" s="209"/>
      <c r="B1479" s="259"/>
      <c r="C1479" s="260"/>
      <c r="D1479" s="261"/>
      <c r="E1479" s="276"/>
      <c r="F1479" s="222"/>
      <c r="G1479" s="224"/>
    </row>
    <row r="1480" spans="1:8" s="1088" customFormat="1" ht="14.25" x14ac:dyDescent="0.2">
      <c r="A1480" s="209"/>
      <c r="B1480" s="245"/>
      <c r="C1480" s="265"/>
      <c r="D1480" s="246"/>
      <c r="E1480" s="265"/>
      <c r="F1480" s="266"/>
      <c r="G1480" s="267"/>
    </row>
    <row r="1481" spans="1:8" s="1088" customFormat="1" ht="14.25" x14ac:dyDescent="0.2">
      <c r="A1481" s="249"/>
      <c r="B1481" s="250"/>
      <c r="C1481" s="252"/>
      <c r="D1481" s="251"/>
      <c r="E1481" s="252"/>
      <c r="F1481" s="254"/>
      <c r="G1481" s="268"/>
    </row>
    <row r="1482" spans="1:8" s="1088" customFormat="1" ht="15" x14ac:dyDescent="0.25">
      <c r="A1482" s="209"/>
      <c r="B1482" s="212"/>
      <c r="C1482" s="211"/>
      <c r="D1482" s="212"/>
      <c r="E1482" s="269"/>
      <c r="F1482" s="269" t="s">
        <v>121</v>
      </c>
      <c r="G1482" s="270">
        <f>+SUM(G1476:G1481)</f>
        <v>6800</v>
      </c>
    </row>
    <row r="1483" spans="1:8" s="1088" customFormat="1" ht="14.25" x14ac:dyDescent="0.2">
      <c r="A1483" s="209"/>
      <c r="B1483" s="212"/>
      <c r="C1483" s="211"/>
      <c r="D1483" s="212"/>
      <c r="E1483" s="213"/>
      <c r="F1483" s="214"/>
      <c r="G1483" s="271"/>
    </row>
    <row r="1484" spans="1:8" s="1088" customFormat="1" ht="15" x14ac:dyDescent="0.25">
      <c r="A1484" s="277"/>
      <c r="B1484" s="278"/>
      <c r="C1484" s="278"/>
      <c r="D1484" s="278"/>
      <c r="E1484" s="279"/>
      <c r="F1484" s="280" t="s">
        <v>137</v>
      </c>
      <c r="G1484" s="283">
        <f>+ROUND(G1452+G1462+G1471+G1482,0)</f>
        <v>52578</v>
      </c>
    </row>
    <row r="1485" spans="1:8" s="1088" customFormat="1" ht="14.25" x14ac:dyDescent="0.2">
      <c r="A1485" s="277"/>
      <c r="B1485" s="278"/>
      <c r="C1485" s="278"/>
      <c r="D1485" s="278"/>
      <c r="E1485" s="279"/>
      <c r="F1485" s="279"/>
      <c r="G1485" s="279"/>
    </row>
    <row r="1486" spans="1:8" s="1088" customFormat="1" ht="15" x14ac:dyDescent="0.25">
      <c r="A1486" s="209"/>
      <c r="B1486" s="212"/>
      <c r="C1486" s="212"/>
      <c r="D1486" s="212"/>
      <c r="E1486" s="211"/>
      <c r="F1486" s="257"/>
      <c r="G1486" s="257"/>
      <c r="H1486" s="257"/>
    </row>
    <row r="1487" spans="1:8" s="1088" customFormat="1" ht="15" x14ac:dyDescent="0.25">
      <c r="A1487" s="145" t="s">
        <v>160</v>
      </c>
      <c r="B1487" s="1262" t="s">
        <v>161</v>
      </c>
      <c r="C1487" s="1263"/>
      <c r="D1487" s="1263"/>
      <c r="E1487" s="1263"/>
      <c r="F1487" s="1264"/>
      <c r="G1487" s="146" t="s">
        <v>2</v>
      </c>
    </row>
    <row r="1488" spans="1:8" s="1088" customFormat="1" ht="15" x14ac:dyDescent="0.25">
      <c r="A1488" s="285">
        <f>'FORMATO PROPUESTA ECONÓMICA'!A52</f>
        <v>6.2</v>
      </c>
      <c r="B1488" s="1265" t="str">
        <f>'FORMATO PROPUESTA ECONÓMICA'!B52</f>
        <v>Reduccion PEAD PN10 de 160mm a 90mm Termofusion</v>
      </c>
      <c r="C1488" s="1266"/>
      <c r="D1488" s="1266"/>
      <c r="E1488" s="1266"/>
      <c r="F1488" s="1267"/>
      <c r="G1488" s="187" t="str">
        <f>'FORMATO PROPUESTA ECONÓMICA'!C54</f>
        <v>und</v>
      </c>
    </row>
    <row r="1489" spans="1:7" s="1088" customFormat="1" ht="14.25" x14ac:dyDescent="0.2">
      <c r="A1489" s="209"/>
      <c r="B1489" s="210"/>
      <c r="C1489" s="211"/>
      <c r="D1489" s="212"/>
      <c r="E1489" s="213"/>
      <c r="F1489" s="214"/>
      <c r="G1489" s="215"/>
    </row>
    <row r="1490" spans="1:7" s="1088" customFormat="1" ht="15" x14ac:dyDescent="0.25">
      <c r="A1490" s="216" t="s">
        <v>115</v>
      </c>
      <c r="B1490" s="212"/>
      <c r="C1490" s="211"/>
      <c r="D1490" s="212"/>
      <c r="E1490" s="213"/>
      <c r="F1490" s="214"/>
      <c r="G1490" s="215"/>
    </row>
    <row r="1491" spans="1:7" s="1088" customFormat="1" ht="14.25" x14ac:dyDescent="0.2">
      <c r="A1491" s="209"/>
      <c r="B1491" s="212"/>
      <c r="C1491" s="211"/>
      <c r="D1491" s="212"/>
      <c r="E1491" s="213"/>
      <c r="F1491" s="214"/>
      <c r="G1491" s="215"/>
    </row>
    <row r="1492" spans="1:7" s="1088" customFormat="1" ht="15" customHeight="1" x14ac:dyDescent="0.25">
      <c r="A1492" s="1075" t="s">
        <v>116</v>
      </c>
      <c r="B1492" s="1076"/>
      <c r="C1492" s="217" t="s">
        <v>117</v>
      </c>
      <c r="D1492" s="1075" t="s">
        <v>118</v>
      </c>
      <c r="E1492" s="218" t="s">
        <v>39</v>
      </c>
      <c r="F1492" s="1075" t="s">
        <v>119</v>
      </c>
      <c r="G1492" s="219" t="s">
        <v>120</v>
      </c>
    </row>
    <row r="1493" spans="1:7" s="1088" customFormat="1" ht="14.25" x14ac:dyDescent="0.2">
      <c r="A1493" s="209"/>
      <c r="B1493" s="286"/>
      <c r="C1493" s="220"/>
      <c r="D1493" s="261"/>
      <c r="E1493" s="276"/>
      <c r="F1493" s="222"/>
      <c r="G1493" s="224"/>
    </row>
    <row r="1494" spans="1:7" s="1088" customFormat="1" ht="14.25" x14ac:dyDescent="0.2">
      <c r="A1494" s="1060"/>
      <c r="B1494" s="1068"/>
      <c r="C1494" s="225"/>
      <c r="D1494" s="221"/>
      <c r="E1494" s="226"/>
      <c r="F1494" s="227"/>
      <c r="G1494" s="228">
        <f>D1494*E1494</f>
        <v>0</v>
      </c>
    </row>
    <row r="1495" spans="1:7" s="1088" customFormat="1" ht="14.25" x14ac:dyDescent="0.2">
      <c r="A1495" s="1060"/>
      <c r="B1495" s="1068"/>
      <c r="C1495" s="229"/>
      <c r="D1495" s="221"/>
      <c r="E1495" s="226"/>
      <c r="F1495" s="227"/>
      <c r="G1495" s="228">
        <f>D1495*E1495</f>
        <v>0</v>
      </c>
    </row>
    <row r="1496" spans="1:7" s="1088" customFormat="1" ht="14.25" x14ac:dyDescent="0.2">
      <c r="A1496" s="1060"/>
      <c r="B1496" s="1068"/>
      <c r="C1496" s="225"/>
      <c r="D1496" s="221"/>
      <c r="E1496" s="226"/>
      <c r="F1496" s="227"/>
      <c r="G1496" s="228">
        <f>D1496*E1496</f>
        <v>0</v>
      </c>
    </row>
    <row r="1497" spans="1:7" s="1088" customFormat="1" ht="14.25" x14ac:dyDescent="0.2">
      <c r="A1497" s="1069"/>
      <c r="B1497" s="1070"/>
      <c r="C1497" s="230"/>
      <c r="D1497" s="231"/>
      <c r="E1497" s="232"/>
      <c r="F1497" s="233"/>
      <c r="G1497" s="228">
        <f>D1497*E1497</f>
        <v>0</v>
      </c>
    </row>
    <row r="1498" spans="1:7" s="1088" customFormat="1" ht="15" x14ac:dyDescent="0.25">
      <c r="A1498" s="1073"/>
      <c r="B1498" s="210"/>
      <c r="C1498" s="211"/>
      <c r="D1498" s="212"/>
      <c r="E1498" s="212"/>
      <c r="F1498" s="234" t="s">
        <v>121</v>
      </c>
      <c r="G1498" s="231">
        <f>+SUM(G1493:G1497)</f>
        <v>0</v>
      </c>
    </row>
    <row r="1499" spans="1:7" s="1088" customFormat="1" ht="14.25" x14ac:dyDescent="0.2">
      <c r="A1499" s="209"/>
      <c r="B1499" s="212"/>
      <c r="C1499" s="211" t="s">
        <v>123</v>
      </c>
      <c r="D1499" s="212"/>
      <c r="E1499" s="213"/>
      <c r="F1499" s="214"/>
      <c r="G1499" s="215"/>
    </row>
    <row r="1500" spans="1:7" s="1088" customFormat="1" ht="15" x14ac:dyDescent="0.25">
      <c r="A1500" s="216" t="s">
        <v>122</v>
      </c>
      <c r="B1500" s="212"/>
      <c r="C1500" s="211" t="s">
        <v>123</v>
      </c>
      <c r="D1500" s="212"/>
      <c r="E1500" s="213"/>
      <c r="F1500" s="214"/>
      <c r="G1500" s="215"/>
    </row>
    <row r="1501" spans="1:7" s="1088" customFormat="1" ht="14.25" x14ac:dyDescent="0.2">
      <c r="A1501" s="209"/>
      <c r="B1501" s="212"/>
      <c r="C1501" s="211"/>
      <c r="D1501" s="212"/>
      <c r="E1501" s="213"/>
      <c r="F1501" s="214"/>
      <c r="G1501" s="215"/>
    </row>
    <row r="1502" spans="1:7" s="1088" customFormat="1" ht="15" x14ac:dyDescent="0.25">
      <c r="A1502" s="1071" t="s">
        <v>116</v>
      </c>
      <c r="B1502" s="1072"/>
      <c r="C1502" s="235" t="s">
        <v>117</v>
      </c>
      <c r="D1502" s="236" t="s">
        <v>124</v>
      </c>
      <c r="E1502" s="236" t="s">
        <v>125</v>
      </c>
      <c r="F1502" s="237" t="s">
        <v>126</v>
      </c>
      <c r="G1502" s="238" t="s">
        <v>120</v>
      </c>
    </row>
    <row r="1503" spans="1:7" s="1088" customFormat="1" ht="28.5" x14ac:dyDescent="0.2">
      <c r="A1503" s="1066" t="s">
        <v>127</v>
      </c>
      <c r="B1503" s="1067"/>
      <c r="C1503" s="239" t="s">
        <v>128</v>
      </c>
      <c r="D1503" s="240"/>
      <c r="E1503" s="241"/>
      <c r="F1503" s="222"/>
      <c r="G1503" s="242">
        <f>G1517*0.05</f>
        <v>1108.4796800000001</v>
      </c>
    </row>
    <row r="1504" spans="1:7" s="1088" customFormat="1" ht="14.25" x14ac:dyDescent="0.2">
      <c r="A1504" s="1073" t="s">
        <v>174</v>
      </c>
      <c r="B1504" s="1074"/>
      <c r="C1504" s="243" t="s">
        <v>176</v>
      </c>
      <c r="D1504" s="221">
        <v>450000</v>
      </c>
      <c r="E1504" s="244"/>
      <c r="F1504" s="222">
        <v>15</v>
      </c>
      <c r="G1504" s="224">
        <f>D1504/F1504</f>
        <v>30000</v>
      </c>
    </row>
    <row r="1505" spans="1:7" s="1088" customFormat="1" ht="14.25" x14ac:dyDescent="0.2">
      <c r="A1505" s="1073"/>
      <c r="B1505" s="1074"/>
      <c r="C1505" s="243"/>
      <c r="D1505" s="221"/>
      <c r="E1505" s="244"/>
      <c r="F1505" s="222"/>
      <c r="G1505" s="224"/>
    </row>
    <row r="1506" spans="1:7" s="1088" customFormat="1" ht="14.25" x14ac:dyDescent="0.2">
      <c r="A1506" s="209"/>
      <c r="B1506" s="245"/>
      <c r="C1506" s="246"/>
      <c r="D1506" s="221"/>
      <c r="E1506" s="247"/>
      <c r="F1506" s="222"/>
      <c r="G1506" s="248"/>
    </row>
    <row r="1507" spans="1:7" s="1088" customFormat="1" ht="14.25" x14ac:dyDescent="0.2">
      <c r="A1507" s="249"/>
      <c r="B1507" s="250"/>
      <c r="C1507" s="251"/>
      <c r="D1507" s="252"/>
      <c r="E1507" s="253"/>
      <c r="F1507" s="254"/>
      <c r="G1507" s="255"/>
    </row>
    <row r="1508" spans="1:7" s="1088" customFormat="1" ht="15" x14ac:dyDescent="0.25">
      <c r="A1508" s="209"/>
      <c r="B1508" s="214"/>
      <c r="C1508" s="256"/>
      <c r="D1508" s="214"/>
      <c r="E1508" s="212"/>
      <c r="F1508" s="257" t="s">
        <v>121</v>
      </c>
      <c r="G1508" s="258">
        <f>+SUM(G1503:G1507)</f>
        <v>31108.47968</v>
      </c>
    </row>
    <row r="1509" spans="1:7" s="1088" customFormat="1" ht="14.25" x14ac:dyDescent="0.2">
      <c r="A1509" s="209"/>
      <c r="B1509" s="212"/>
      <c r="C1509" s="211"/>
      <c r="D1509" s="212"/>
      <c r="E1509" s="213"/>
      <c r="F1509" s="212"/>
      <c r="G1509" s="215"/>
    </row>
    <row r="1510" spans="1:7" s="1088" customFormat="1" ht="15" x14ac:dyDescent="0.25">
      <c r="A1510" s="216" t="s">
        <v>130</v>
      </c>
      <c r="B1510" s="212"/>
      <c r="C1510" s="211"/>
      <c r="D1510" s="212"/>
      <c r="E1510" s="213"/>
      <c r="F1510" s="214"/>
      <c r="G1510" s="215"/>
    </row>
    <row r="1511" spans="1:7" s="1088" customFormat="1" ht="14.25" x14ac:dyDescent="0.2">
      <c r="A1511" s="209"/>
      <c r="B1511" s="212"/>
      <c r="C1511" s="211"/>
      <c r="D1511" s="212"/>
      <c r="E1511" s="213"/>
      <c r="F1511" s="214"/>
      <c r="G1511" s="215"/>
    </row>
    <row r="1512" spans="1:7" s="1088" customFormat="1" ht="15" x14ac:dyDescent="0.25">
      <c r="A1512" s="1071" t="s">
        <v>116</v>
      </c>
      <c r="B1512" s="1072"/>
      <c r="C1512" s="236" t="s">
        <v>131</v>
      </c>
      <c r="D1512" s="235" t="s">
        <v>132</v>
      </c>
      <c r="E1512" s="236" t="s">
        <v>133</v>
      </c>
      <c r="F1512" s="237" t="s">
        <v>126</v>
      </c>
      <c r="G1512" s="238" t="s">
        <v>134</v>
      </c>
    </row>
    <row r="1513" spans="1:7" s="1088" customFormat="1" ht="14.25" x14ac:dyDescent="0.2">
      <c r="A1513" s="209" t="s">
        <v>10</v>
      </c>
      <c r="B1513" s="259"/>
      <c r="C1513" s="260">
        <f>M2</f>
        <v>22981.8</v>
      </c>
      <c r="D1513" s="261">
        <f>N2</f>
        <v>1.76</v>
      </c>
      <c r="E1513" s="276">
        <f>C1513*D1513</f>
        <v>40447.968000000001</v>
      </c>
      <c r="F1513" s="222">
        <f>1/5</f>
        <v>0.2</v>
      </c>
      <c r="G1513" s="224">
        <f>F1513*E1513</f>
        <v>8089.5936000000002</v>
      </c>
    </row>
    <row r="1514" spans="1:7" s="1088" customFormat="1" ht="14.25" x14ac:dyDescent="0.2">
      <c r="A1514" s="209" t="s">
        <v>140</v>
      </c>
      <c r="B1514" s="259"/>
      <c r="C1514" s="260">
        <f>M3</f>
        <v>40000</v>
      </c>
      <c r="D1514" s="261">
        <f>N3</f>
        <v>1.76</v>
      </c>
      <c r="E1514" s="276">
        <f>C1514*D1514</f>
        <v>70400</v>
      </c>
      <c r="F1514" s="222">
        <f>1/5</f>
        <v>0.2</v>
      </c>
      <c r="G1514" s="224">
        <f>F1514*E1514</f>
        <v>14080</v>
      </c>
    </row>
    <row r="1515" spans="1:7" s="1088" customFormat="1" ht="14.25" x14ac:dyDescent="0.2">
      <c r="A1515" s="209"/>
      <c r="B1515" s="245"/>
      <c r="C1515" s="265"/>
      <c r="D1515" s="246"/>
      <c r="E1515" s="265"/>
      <c r="F1515" s="266"/>
      <c r="G1515" s="267"/>
    </row>
    <row r="1516" spans="1:7" s="1088" customFormat="1" ht="14.25" x14ac:dyDescent="0.2">
      <c r="A1516" s="249"/>
      <c r="B1516" s="250"/>
      <c r="C1516" s="252"/>
      <c r="D1516" s="251"/>
      <c r="E1516" s="252"/>
      <c r="F1516" s="254"/>
      <c r="G1516" s="268"/>
    </row>
    <row r="1517" spans="1:7" s="1088" customFormat="1" ht="15" x14ac:dyDescent="0.25">
      <c r="A1517" s="209"/>
      <c r="B1517" s="212"/>
      <c r="C1517" s="211"/>
      <c r="D1517" s="212"/>
      <c r="E1517" s="269"/>
      <c r="F1517" s="269" t="s">
        <v>121</v>
      </c>
      <c r="G1517" s="270">
        <f>+SUM(G1513:G1516)</f>
        <v>22169.5936</v>
      </c>
    </row>
    <row r="1518" spans="1:7" s="1088" customFormat="1" ht="15" x14ac:dyDescent="0.25">
      <c r="A1518" s="209"/>
      <c r="B1518" s="212"/>
      <c r="C1518" s="211"/>
      <c r="D1518" s="212"/>
      <c r="E1518" s="257"/>
      <c r="F1518" s="257"/>
      <c r="G1518" s="271"/>
    </row>
    <row r="1519" spans="1:7" s="1088" customFormat="1" ht="15" x14ac:dyDescent="0.25">
      <c r="A1519" s="216" t="s">
        <v>135</v>
      </c>
      <c r="B1519" s="212"/>
      <c r="C1519" s="211"/>
      <c r="D1519" s="212"/>
      <c r="E1519" s="213"/>
      <c r="F1519" s="214"/>
      <c r="G1519" s="215"/>
    </row>
    <row r="1520" spans="1:7" s="1088" customFormat="1" ht="14.25" x14ac:dyDescent="0.2">
      <c r="A1520" s="209"/>
      <c r="B1520" s="212"/>
      <c r="C1520" s="211"/>
      <c r="D1520" s="212"/>
      <c r="E1520" s="213"/>
      <c r="F1520" s="214"/>
      <c r="G1520" s="215"/>
    </row>
    <row r="1521" spans="1:8" s="1088" customFormat="1" ht="15" x14ac:dyDescent="0.25">
      <c r="A1521" s="1071" t="s">
        <v>116</v>
      </c>
      <c r="B1521" s="1072"/>
      <c r="C1521" s="236" t="s">
        <v>117</v>
      </c>
      <c r="D1521" s="235" t="s">
        <v>136</v>
      </c>
      <c r="E1521" s="236" t="s">
        <v>124</v>
      </c>
      <c r="F1521" s="237" t="s">
        <v>126</v>
      </c>
      <c r="G1521" s="238" t="s">
        <v>134</v>
      </c>
    </row>
    <row r="1522" spans="1:8" s="1088" customFormat="1" ht="14.25" x14ac:dyDescent="0.2">
      <c r="A1522" s="209" t="s">
        <v>175</v>
      </c>
      <c r="B1522" s="286"/>
      <c r="C1522" s="287" t="s">
        <v>79</v>
      </c>
      <c r="D1522" s="261"/>
      <c r="E1522" s="276">
        <v>68000</v>
      </c>
      <c r="F1522" s="222">
        <f>1/10</f>
        <v>0.1</v>
      </c>
      <c r="G1522" s="224">
        <f>F1522*E1522</f>
        <v>6800</v>
      </c>
    </row>
    <row r="1523" spans="1:8" s="1088" customFormat="1" ht="14.25" x14ac:dyDescent="0.2">
      <c r="A1523" s="209"/>
      <c r="B1523" s="275"/>
      <c r="C1523" s="260"/>
      <c r="D1523" s="261"/>
      <c r="E1523" s="276"/>
      <c r="F1523" s="222"/>
      <c r="G1523" s="224"/>
    </row>
    <row r="1524" spans="1:8" s="1088" customFormat="1" ht="14.25" x14ac:dyDescent="0.2">
      <c r="A1524" s="209"/>
      <c r="B1524" s="259"/>
      <c r="C1524" s="260"/>
      <c r="D1524" s="261"/>
      <c r="E1524" s="276"/>
      <c r="F1524" s="222"/>
      <c r="G1524" s="224"/>
    </row>
    <row r="1525" spans="1:8" s="1088" customFormat="1" ht="14.25" x14ac:dyDescent="0.2">
      <c r="A1525" s="209"/>
      <c r="B1525" s="259"/>
      <c r="C1525" s="260"/>
      <c r="D1525" s="261"/>
      <c r="E1525" s="276"/>
      <c r="F1525" s="222"/>
      <c r="G1525" s="224"/>
    </row>
    <row r="1526" spans="1:8" s="1088" customFormat="1" ht="14.25" x14ac:dyDescent="0.2">
      <c r="A1526" s="209"/>
      <c r="B1526" s="245"/>
      <c r="C1526" s="265"/>
      <c r="D1526" s="246"/>
      <c r="E1526" s="265"/>
      <c r="F1526" s="266"/>
      <c r="G1526" s="267"/>
    </row>
    <row r="1527" spans="1:8" s="1088" customFormat="1" ht="14.25" x14ac:dyDescent="0.2">
      <c r="A1527" s="249"/>
      <c r="B1527" s="250"/>
      <c r="C1527" s="252"/>
      <c r="D1527" s="251"/>
      <c r="E1527" s="252"/>
      <c r="F1527" s="254"/>
      <c r="G1527" s="268"/>
    </row>
    <row r="1528" spans="1:8" s="1088" customFormat="1" ht="15" x14ac:dyDescent="0.25">
      <c r="A1528" s="209"/>
      <c r="B1528" s="212"/>
      <c r="C1528" s="211"/>
      <c r="D1528" s="212"/>
      <c r="E1528" s="269"/>
      <c r="F1528" s="269" t="s">
        <v>121</v>
      </c>
      <c r="G1528" s="270">
        <f>+SUM(G1522:G1527)</f>
        <v>6800</v>
      </c>
    </row>
    <row r="1529" spans="1:8" s="1088" customFormat="1" ht="14.25" x14ac:dyDescent="0.2">
      <c r="A1529" s="209"/>
      <c r="B1529" s="212"/>
      <c r="C1529" s="211"/>
      <c r="D1529" s="212"/>
      <c r="E1529" s="213"/>
      <c r="F1529" s="214"/>
      <c r="G1529" s="214"/>
    </row>
    <row r="1530" spans="1:8" s="1088" customFormat="1" ht="15" x14ac:dyDescent="0.25">
      <c r="A1530" s="277"/>
      <c r="B1530" s="278"/>
      <c r="C1530" s="278"/>
      <c r="D1530" s="278"/>
      <c r="E1530" s="279"/>
      <c r="F1530" s="280" t="s">
        <v>137</v>
      </c>
      <c r="G1530" s="283">
        <f>+ROUND(G1498+G1508+G1517+G1528,0)</f>
        <v>60078</v>
      </c>
    </row>
    <row r="1531" spans="1:8" s="1088" customFormat="1" ht="15" x14ac:dyDescent="0.25">
      <c r="A1531" s="209"/>
      <c r="B1531" s="212"/>
      <c r="C1531" s="212"/>
      <c r="D1531" s="212"/>
      <c r="E1531" s="211"/>
      <c r="F1531" s="257"/>
      <c r="G1531" s="257"/>
      <c r="H1531" s="257"/>
    </row>
    <row r="1532" spans="1:8" s="1088" customFormat="1" ht="15" x14ac:dyDescent="0.25">
      <c r="A1532" s="145" t="s">
        <v>160</v>
      </c>
      <c r="B1532" s="1262" t="s">
        <v>161</v>
      </c>
      <c r="C1532" s="1263"/>
      <c r="D1532" s="1263"/>
      <c r="E1532" s="1263"/>
      <c r="F1532" s="1264"/>
      <c r="G1532" s="146" t="s">
        <v>2</v>
      </c>
    </row>
    <row r="1533" spans="1:8" s="1088" customFormat="1" ht="15" x14ac:dyDescent="0.25">
      <c r="A1533" s="285">
        <f>'FORMATO PROPUESTA ECONÓMICA'!A53</f>
        <v>6.21</v>
      </c>
      <c r="B1533" s="1265" t="str">
        <f>'FORMATO PROPUESTA ECONÓMICA'!B53</f>
        <v>Reduccion PEAD PN10 de 200mm a 110mm Termofusion</v>
      </c>
      <c r="C1533" s="1266"/>
      <c r="D1533" s="1266"/>
      <c r="E1533" s="1266"/>
      <c r="F1533" s="1267"/>
      <c r="G1533" s="187" t="str">
        <f>'FORMATO PROPUESTA ECONÓMICA'!C53</f>
        <v>und</v>
      </c>
    </row>
    <row r="1534" spans="1:8" s="1088" customFormat="1" ht="14.25" x14ac:dyDescent="0.2">
      <c r="A1534" s="209"/>
      <c r="B1534" s="210"/>
      <c r="C1534" s="211"/>
      <c r="D1534" s="212"/>
      <c r="E1534" s="213"/>
      <c r="F1534" s="214"/>
      <c r="G1534" s="215"/>
    </row>
    <row r="1535" spans="1:8" s="1088" customFormat="1" ht="15" x14ac:dyDescent="0.25">
      <c r="A1535" s="216" t="s">
        <v>115</v>
      </c>
      <c r="B1535" s="212"/>
      <c r="C1535" s="211"/>
      <c r="D1535" s="212"/>
      <c r="E1535" s="213"/>
      <c r="F1535" s="214"/>
      <c r="G1535" s="215"/>
    </row>
    <row r="1536" spans="1:8" s="1088" customFormat="1" ht="14.25" x14ac:dyDescent="0.2">
      <c r="A1536" s="209"/>
      <c r="B1536" s="212"/>
      <c r="C1536" s="211"/>
      <c r="D1536" s="212"/>
      <c r="E1536" s="213"/>
      <c r="F1536" s="214"/>
      <c r="G1536" s="215"/>
    </row>
    <row r="1537" spans="1:7" s="1088" customFormat="1" ht="15" x14ac:dyDescent="0.25">
      <c r="A1537" s="1075" t="s">
        <v>116</v>
      </c>
      <c r="B1537" s="1076"/>
      <c r="C1537" s="217" t="s">
        <v>117</v>
      </c>
      <c r="D1537" s="1075" t="s">
        <v>118</v>
      </c>
      <c r="E1537" s="218" t="s">
        <v>39</v>
      </c>
      <c r="F1537" s="1075" t="s">
        <v>119</v>
      </c>
      <c r="G1537" s="219" t="s">
        <v>120</v>
      </c>
    </row>
    <row r="1538" spans="1:7" s="1088" customFormat="1" ht="14.25" x14ac:dyDescent="0.2">
      <c r="A1538" s="209"/>
      <c r="B1538" s="286"/>
      <c r="C1538" s="220"/>
      <c r="D1538" s="261"/>
      <c r="E1538" s="276"/>
      <c r="F1538" s="222"/>
      <c r="G1538" s="224"/>
    </row>
    <row r="1539" spans="1:7" s="1088" customFormat="1" ht="14.25" x14ac:dyDescent="0.2">
      <c r="A1539" s="1060"/>
      <c r="B1539" s="1068"/>
      <c r="C1539" s="225"/>
      <c r="D1539" s="221"/>
      <c r="E1539" s="226"/>
      <c r="F1539" s="227"/>
      <c r="G1539" s="228">
        <f>D1539*E1539</f>
        <v>0</v>
      </c>
    </row>
    <row r="1540" spans="1:7" s="1088" customFormat="1" ht="14.25" x14ac:dyDescent="0.2">
      <c r="A1540" s="1060"/>
      <c r="B1540" s="1068"/>
      <c r="C1540" s="229"/>
      <c r="D1540" s="221"/>
      <c r="E1540" s="226"/>
      <c r="F1540" s="227"/>
      <c r="G1540" s="228">
        <f>D1540*E1540</f>
        <v>0</v>
      </c>
    </row>
    <row r="1541" spans="1:7" s="1088" customFormat="1" ht="14.25" x14ac:dyDescent="0.2">
      <c r="A1541" s="1060"/>
      <c r="B1541" s="1068"/>
      <c r="C1541" s="225"/>
      <c r="D1541" s="221"/>
      <c r="E1541" s="226"/>
      <c r="F1541" s="227"/>
      <c r="G1541" s="228">
        <f>D1541*E1541</f>
        <v>0</v>
      </c>
    </row>
    <row r="1542" spans="1:7" s="1088" customFormat="1" ht="14.25" x14ac:dyDescent="0.2">
      <c r="A1542" s="1069"/>
      <c r="B1542" s="1070"/>
      <c r="C1542" s="230"/>
      <c r="D1542" s="231"/>
      <c r="E1542" s="232"/>
      <c r="F1542" s="233"/>
      <c r="G1542" s="228">
        <f>D1542*E1542</f>
        <v>0</v>
      </c>
    </row>
    <row r="1543" spans="1:7" s="1088" customFormat="1" ht="15" x14ac:dyDescent="0.25">
      <c r="A1543" s="1073"/>
      <c r="B1543" s="210"/>
      <c r="C1543" s="211"/>
      <c r="D1543" s="212"/>
      <c r="E1543" s="212"/>
      <c r="F1543" s="234" t="s">
        <v>121</v>
      </c>
      <c r="G1543" s="231">
        <f>+SUM(G1538:G1542)</f>
        <v>0</v>
      </c>
    </row>
    <row r="1544" spans="1:7" s="1088" customFormat="1" ht="14.25" x14ac:dyDescent="0.2">
      <c r="A1544" s="209"/>
      <c r="B1544" s="212"/>
      <c r="C1544" s="211" t="s">
        <v>123</v>
      </c>
      <c r="D1544" s="212"/>
      <c r="E1544" s="213"/>
      <c r="F1544" s="214"/>
      <c r="G1544" s="215"/>
    </row>
    <row r="1545" spans="1:7" s="1088" customFormat="1" ht="15" x14ac:dyDescent="0.25">
      <c r="A1545" s="216" t="s">
        <v>122</v>
      </c>
      <c r="B1545" s="212"/>
      <c r="C1545" s="211" t="s">
        <v>123</v>
      </c>
      <c r="D1545" s="212"/>
      <c r="E1545" s="213"/>
      <c r="F1545" s="214"/>
      <c r="G1545" s="215"/>
    </row>
    <row r="1546" spans="1:7" s="1088" customFormat="1" ht="14.25" x14ac:dyDescent="0.2">
      <c r="A1546" s="209"/>
      <c r="B1546" s="212"/>
      <c r="C1546" s="211"/>
      <c r="D1546" s="212"/>
      <c r="E1546" s="213"/>
      <c r="F1546" s="214"/>
      <c r="G1546" s="215"/>
    </row>
    <row r="1547" spans="1:7" s="1088" customFormat="1" ht="15" x14ac:dyDescent="0.25">
      <c r="A1547" s="1071" t="s">
        <v>116</v>
      </c>
      <c r="B1547" s="1072"/>
      <c r="C1547" s="235" t="s">
        <v>117</v>
      </c>
      <c r="D1547" s="236" t="s">
        <v>124</v>
      </c>
      <c r="E1547" s="236" t="s">
        <v>125</v>
      </c>
      <c r="F1547" s="237" t="s">
        <v>126</v>
      </c>
      <c r="G1547" s="238" t="s">
        <v>120</v>
      </c>
    </row>
    <row r="1548" spans="1:7" s="1088" customFormat="1" ht="28.5" x14ac:dyDescent="0.2">
      <c r="A1548" s="1066" t="s">
        <v>127</v>
      </c>
      <c r="B1548" s="1067"/>
      <c r="C1548" s="239" t="s">
        <v>128</v>
      </c>
      <c r="D1548" s="240"/>
      <c r="E1548" s="241"/>
      <c r="F1548" s="222"/>
      <c r="G1548" s="242">
        <f>G1562*0.05</f>
        <v>692.7998</v>
      </c>
    </row>
    <row r="1549" spans="1:7" s="1088" customFormat="1" ht="14.25" x14ac:dyDescent="0.2">
      <c r="A1549" s="1073" t="s">
        <v>174</v>
      </c>
      <c r="B1549" s="1074"/>
      <c r="C1549" s="243" t="s">
        <v>176</v>
      </c>
      <c r="D1549" s="221">
        <v>450000</v>
      </c>
      <c r="E1549" s="244"/>
      <c r="F1549" s="222">
        <f>1/8</f>
        <v>0.125</v>
      </c>
      <c r="G1549" s="224">
        <f>D1549*F1549</f>
        <v>56250</v>
      </c>
    </row>
    <row r="1550" spans="1:7" s="1088" customFormat="1" ht="14.25" x14ac:dyDescent="0.2">
      <c r="A1550" s="1073"/>
      <c r="B1550" s="1074"/>
      <c r="C1550" s="243"/>
      <c r="D1550" s="221"/>
      <c r="E1550" s="244"/>
      <c r="F1550" s="222"/>
      <c r="G1550" s="224"/>
    </row>
    <row r="1551" spans="1:7" s="1088" customFormat="1" ht="14.25" x14ac:dyDescent="0.2">
      <c r="A1551" s="209"/>
      <c r="B1551" s="245"/>
      <c r="C1551" s="246"/>
      <c r="D1551" s="221"/>
      <c r="E1551" s="247"/>
      <c r="F1551" s="222"/>
      <c r="G1551" s="248"/>
    </row>
    <row r="1552" spans="1:7" s="1088" customFormat="1" ht="14.25" x14ac:dyDescent="0.2">
      <c r="A1552" s="249"/>
      <c r="B1552" s="250"/>
      <c r="C1552" s="251"/>
      <c r="D1552" s="252"/>
      <c r="E1552" s="253"/>
      <c r="F1552" s="254"/>
      <c r="G1552" s="255"/>
    </row>
    <row r="1553" spans="1:7" s="1088" customFormat="1" ht="15" x14ac:dyDescent="0.25">
      <c r="A1553" s="209"/>
      <c r="B1553" s="214"/>
      <c r="C1553" s="256"/>
      <c r="D1553" s="214"/>
      <c r="E1553" s="212"/>
      <c r="F1553" s="257" t="s">
        <v>121</v>
      </c>
      <c r="G1553" s="258">
        <f>+SUM(G1548:G1552)</f>
        <v>56942.799800000001</v>
      </c>
    </row>
    <row r="1554" spans="1:7" s="1088" customFormat="1" ht="14.25" x14ac:dyDescent="0.2">
      <c r="A1554" s="209"/>
      <c r="B1554" s="212"/>
      <c r="C1554" s="211"/>
      <c r="D1554" s="212"/>
      <c r="E1554" s="213"/>
      <c r="F1554" s="212"/>
      <c r="G1554" s="215"/>
    </row>
    <row r="1555" spans="1:7" s="1088" customFormat="1" ht="15" x14ac:dyDescent="0.25">
      <c r="A1555" s="216" t="s">
        <v>130</v>
      </c>
      <c r="B1555" s="212"/>
      <c r="C1555" s="211"/>
      <c r="D1555" s="212"/>
      <c r="E1555" s="213"/>
      <c r="F1555" s="214"/>
      <c r="G1555" s="215"/>
    </row>
    <row r="1556" spans="1:7" s="1088" customFormat="1" ht="14.25" x14ac:dyDescent="0.2">
      <c r="A1556" s="209"/>
      <c r="B1556" s="212"/>
      <c r="C1556" s="211"/>
      <c r="D1556" s="212"/>
      <c r="E1556" s="213"/>
      <c r="F1556" s="214"/>
      <c r="G1556" s="215"/>
    </row>
    <row r="1557" spans="1:7" s="1088" customFormat="1" ht="15" x14ac:dyDescent="0.25">
      <c r="A1557" s="1071" t="s">
        <v>116</v>
      </c>
      <c r="B1557" s="1072"/>
      <c r="C1557" s="236" t="s">
        <v>131</v>
      </c>
      <c r="D1557" s="235" t="s">
        <v>132</v>
      </c>
      <c r="E1557" s="236" t="s">
        <v>133</v>
      </c>
      <c r="F1557" s="237" t="s">
        <v>126</v>
      </c>
      <c r="G1557" s="238" t="s">
        <v>134</v>
      </c>
    </row>
    <row r="1558" spans="1:7" s="1088" customFormat="1" ht="14.25" x14ac:dyDescent="0.2">
      <c r="A1558" s="209" t="s">
        <v>10</v>
      </c>
      <c r="B1558" s="259"/>
      <c r="C1558" s="260">
        <f>M2</f>
        <v>22981.8</v>
      </c>
      <c r="D1558" s="261">
        <f>N2</f>
        <v>1.76</v>
      </c>
      <c r="E1558" s="276">
        <f>C1558*D1558</f>
        <v>40447.968000000001</v>
      </c>
      <c r="F1558" s="222">
        <f>1/8</f>
        <v>0.125</v>
      </c>
      <c r="G1558" s="224">
        <f>F1558*E1558</f>
        <v>5055.9960000000001</v>
      </c>
    </row>
    <row r="1559" spans="1:7" s="1088" customFormat="1" ht="14.25" x14ac:dyDescent="0.2">
      <c r="A1559" s="209" t="s">
        <v>140</v>
      </c>
      <c r="B1559" s="259"/>
      <c r="C1559" s="260">
        <f>M3</f>
        <v>40000</v>
      </c>
      <c r="D1559" s="261">
        <f>N3</f>
        <v>1.76</v>
      </c>
      <c r="E1559" s="276">
        <f>C1559*D1559</f>
        <v>70400</v>
      </c>
      <c r="F1559" s="222">
        <f>1/8</f>
        <v>0.125</v>
      </c>
      <c r="G1559" s="224">
        <f>F1559*E1559</f>
        <v>8800</v>
      </c>
    </row>
    <row r="1560" spans="1:7" s="1088" customFormat="1" ht="14.25" x14ac:dyDescent="0.2">
      <c r="A1560" s="209"/>
      <c r="B1560" s="245"/>
      <c r="C1560" s="265"/>
      <c r="D1560" s="246"/>
      <c r="E1560" s="265"/>
      <c r="F1560" s="266"/>
      <c r="G1560" s="267"/>
    </row>
    <row r="1561" spans="1:7" s="1088" customFormat="1" ht="14.25" x14ac:dyDescent="0.2">
      <c r="A1561" s="249"/>
      <c r="B1561" s="250"/>
      <c r="C1561" s="252"/>
      <c r="D1561" s="251"/>
      <c r="E1561" s="252"/>
      <c r="F1561" s="254"/>
      <c r="G1561" s="268"/>
    </row>
    <row r="1562" spans="1:7" s="1088" customFormat="1" ht="15" x14ac:dyDescent="0.25">
      <c r="A1562" s="209"/>
      <c r="B1562" s="212"/>
      <c r="C1562" s="211"/>
      <c r="D1562" s="212"/>
      <c r="E1562" s="269"/>
      <c r="F1562" s="269" t="s">
        <v>121</v>
      </c>
      <c r="G1562" s="270">
        <f>+SUM(G1558:G1561)</f>
        <v>13855.995999999999</v>
      </c>
    </row>
    <row r="1563" spans="1:7" s="1088" customFormat="1" ht="15" x14ac:dyDescent="0.25">
      <c r="A1563" s="209"/>
      <c r="B1563" s="212"/>
      <c r="C1563" s="211"/>
      <c r="D1563" s="212"/>
      <c r="E1563" s="257"/>
      <c r="F1563" s="257"/>
      <c r="G1563" s="271"/>
    </row>
    <row r="1564" spans="1:7" s="1088" customFormat="1" ht="15" x14ac:dyDescent="0.25">
      <c r="A1564" s="216" t="s">
        <v>135</v>
      </c>
      <c r="B1564" s="212"/>
      <c r="C1564" s="211"/>
      <c r="D1564" s="212"/>
      <c r="E1564" s="213"/>
      <c r="F1564" s="214"/>
      <c r="G1564" s="215"/>
    </row>
    <row r="1565" spans="1:7" s="1088" customFormat="1" ht="14.25" x14ac:dyDescent="0.2">
      <c r="A1565" s="209"/>
      <c r="B1565" s="212"/>
      <c r="C1565" s="211"/>
      <c r="D1565" s="212"/>
      <c r="E1565" s="213"/>
      <c r="F1565" s="214"/>
      <c r="G1565" s="215"/>
    </row>
    <row r="1566" spans="1:7" s="1088" customFormat="1" ht="15" x14ac:dyDescent="0.25">
      <c r="A1566" s="1071" t="s">
        <v>116</v>
      </c>
      <c r="B1566" s="1072"/>
      <c r="C1566" s="236" t="s">
        <v>117</v>
      </c>
      <c r="D1566" s="235" t="s">
        <v>136</v>
      </c>
      <c r="E1566" s="236" t="s">
        <v>124</v>
      </c>
      <c r="F1566" s="237" t="s">
        <v>126</v>
      </c>
      <c r="G1566" s="238" t="s">
        <v>134</v>
      </c>
    </row>
    <row r="1567" spans="1:7" s="1088" customFormat="1" ht="14.25" x14ac:dyDescent="0.2">
      <c r="A1567" s="209" t="s">
        <v>175</v>
      </c>
      <c r="B1567" s="286"/>
      <c r="C1567" s="287" t="s">
        <v>79</v>
      </c>
      <c r="D1567" s="261"/>
      <c r="E1567" s="276">
        <v>68000</v>
      </c>
      <c r="F1567" s="222">
        <f>1/10</f>
        <v>0.1</v>
      </c>
      <c r="G1567" s="224">
        <f>F1567*E1567</f>
        <v>6800</v>
      </c>
    </row>
    <row r="1568" spans="1:7" s="1088" customFormat="1" ht="14.25" x14ac:dyDescent="0.2">
      <c r="A1568" s="209"/>
      <c r="B1568" s="275"/>
      <c r="C1568" s="260"/>
      <c r="D1568" s="261"/>
      <c r="E1568" s="276"/>
      <c r="F1568" s="222"/>
      <c r="G1568" s="224"/>
    </row>
    <row r="1569" spans="1:8" s="1088" customFormat="1" ht="14.25" x14ac:dyDescent="0.2">
      <c r="A1569" s="209"/>
      <c r="B1569" s="259"/>
      <c r="C1569" s="260"/>
      <c r="D1569" s="261"/>
      <c r="E1569" s="276"/>
      <c r="F1569" s="222"/>
      <c r="G1569" s="224"/>
    </row>
    <row r="1570" spans="1:8" s="1088" customFormat="1" ht="14.25" x14ac:dyDescent="0.2">
      <c r="A1570" s="209"/>
      <c r="B1570" s="259"/>
      <c r="C1570" s="260"/>
      <c r="D1570" s="261"/>
      <c r="E1570" s="276"/>
      <c r="F1570" s="222"/>
      <c r="G1570" s="224"/>
    </row>
    <row r="1571" spans="1:8" s="1088" customFormat="1" ht="14.25" x14ac:dyDescent="0.2">
      <c r="A1571" s="209"/>
      <c r="B1571" s="245"/>
      <c r="C1571" s="265"/>
      <c r="D1571" s="246"/>
      <c r="E1571" s="265"/>
      <c r="F1571" s="266"/>
      <c r="G1571" s="267"/>
    </row>
    <row r="1572" spans="1:8" s="1088" customFormat="1" ht="14.25" x14ac:dyDescent="0.2">
      <c r="A1572" s="249"/>
      <c r="B1572" s="250"/>
      <c r="C1572" s="252"/>
      <c r="D1572" s="251"/>
      <c r="E1572" s="252"/>
      <c r="F1572" s="254"/>
      <c r="G1572" s="268"/>
    </row>
    <row r="1573" spans="1:8" s="1088" customFormat="1" ht="15" x14ac:dyDescent="0.25">
      <c r="A1573" s="209"/>
      <c r="B1573" s="212"/>
      <c r="C1573" s="211"/>
      <c r="D1573" s="212"/>
      <c r="E1573" s="269"/>
      <c r="F1573" s="269" t="s">
        <v>121</v>
      </c>
      <c r="G1573" s="270">
        <f>+SUM(G1567:G1572)</f>
        <v>6800</v>
      </c>
    </row>
    <row r="1574" spans="1:8" s="1088" customFormat="1" ht="14.25" x14ac:dyDescent="0.2">
      <c r="A1574" s="209"/>
      <c r="B1574" s="212"/>
      <c r="C1574" s="211"/>
      <c r="D1574" s="212"/>
      <c r="E1574" s="213"/>
      <c r="F1574" s="214"/>
      <c r="G1574" s="271"/>
    </row>
    <row r="1575" spans="1:8" s="1088" customFormat="1" ht="15" x14ac:dyDescent="0.25">
      <c r="A1575" s="277"/>
      <c r="B1575" s="278"/>
      <c r="C1575" s="278"/>
      <c r="D1575" s="278"/>
      <c r="E1575" s="279"/>
      <c r="F1575" s="280" t="s">
        <v>137</v>
      </c>
      <c r="G1575" s="283">
        <f>+ROUND(G1543+G1553+G1562+G1573,0)</f>
        <v>77599</v>
      </c>
    </row>
    <row r="1576" spans="1:8" s="1088" customFormat="1" ht="15" x14ac:dyDescent="0.25">
      <c r="A1576" s="209"/>
      <c r="B1576" s="212"/>
      <c r="C1576" s="212"/>
      <c r="D1576" s="212"/>
      <c r="E1576" s="211"/>
      <c r="F1576" s="257"/>
      <c r="G1576" s="257"/>
      <c r="H1576" s="257"/>
    </row>
    <row r="1577" spans="1:8" s="1088" customFormat="1" ht="15" x14ac:dyDescent="0.25">
      <c r="A1577" s="145" t="s">
        <v>160</v>
      </c>
      <c r="B1577" s="1262" t="s">
        <v>161</v>
      </c>
      <c r="C1577" s="1263"/>
      <c r="D1577" s="1263"/>
      <c r="E1577" s="1263"/>
      <c r="F1577" s="1264"/>
      <c r="G1577" s="146" t="s">
        <v>2</v>
      </c>
    </row>
    <row r="1578" spans="1:8" s="1088" customFormat="1" ht="15" x14ac:dyDescent="0.25">
      <c r="A1578" s="285">
        <f>'FORMATO PROPUESTA ECONÓMICA'!A54</f>
        <v>6.22</v>
      </c>
      <c r="B1578" s="1265" t="str">
        <f>'FORMATO PROPUESTA ECONÓMICA'!B54</f>
        <v>Reduccion PEAD PN10 de 200mm a 160mm Termofusion</v>
      </c>
      <c r="C1578" s="1266"/>
      <c r="D1578" s="1266"/>
      <c r="E1578" s="1266"/>
      <c r="F1578" s="1267"/>
      <c r="G1578" s="187" t="str">
        <f>'FORMATO PROPUESTA ECONÓMICA'!C54</f>
        <v>und</v>
      </c>
    </row>
    <row r="1579" spans="1:8" s="1088" customFormat="1" ht="14.25" x14ac:dyDescent="0.2">
      <c r="A1579" s="209"/>
      <c r="B1579" s="210"/>
      <c r="C1579" s="211"/>
      <c r="D1579" s="212"/>
      <c r="E1579" s="213"/>
      <c r="F1579" s="214"/>
      <c r="G1579" s="215"/>
    </row>
    <row r="1580" spans="1:8" s="1088" customFormat="1" ht="15" x14ac:dyDescent="0.25">
      <c r="A1580" s="216" t="s">
        <v>115</v>
      </c>
      <c r="B1580" s="212"/>
      <c r="C1580" s="211"/>
      <c r="D1580" s="212"/>
      <c r="E1580" s="213"/>
      <c r="F1580" s="214"/>
      <c r="G1580" s="215"/>
    </row>
    <row r="1581" spans="1:8" s="1088" customFormat="1" ht="14.25" x14ac:dyDescent="0.2">
      <c r="A1581" s="209"/>
      <c r="B1581" s="212"/>
      <c r="C1581" s="211"/>
      <c r="D1581" s="212"/>
      <c r="E1581" s="213"/>
      <c r="F1581" s="214"/>
      <c r="G1581" s="215"/>
    </row>
    <row r="1582" spans="1:8" s="1088" customFormat="1" ht="15" x14ac:dyDescent="0.25">
      <c r="A1582" s="1075" t="s">
        <v>116</v>
      </c>
      <c r="B1582" s="1076"/>
      <c r="C1582" s="217" t="s">
        <v>117</v>
      </c>
      <c r="D1582" s="1075" t="s">
        <v>118</v>
      </c>
      <c r="E1582" s="218" t="s">
        <v>39</v>
      </c>
      <c r="F1582" s="1075" t="s">
        <v>119</v>
      </c>
      <c r="G1582" s="219" t="s">
        <v>120</v>
      </c>
    </row>
    <row r="1583" spans="1:8" s="1088" customFormat="1" ht="15" customHeight="1" x14ac:dyDescent="0.2">
      <c r="A1583" s="209"/>
      <c r="B1583" s="286"/>
      <c r="C1583" s="220"/>
      <c r="D1583" s="261"/>
      <c r="E1583" s="276"/>
      <c r="F1583" s="222"/>
      <c r="G1583" s="224"/>
    </row>
    <row r="1584" spans="1:8" s="1088" customFormat="1" ht="14.25" x14ac:dyDescent="0.2">
      <c r="A1584" s="1060"/>
      <c r="B1584" s="1068"/>
      <c r="C1584" s="225"/>
      <c r="D1584" s="221"/>
      <c r="E1584" s="226"/>
      <c r="F1584" s="227"/>
      <c r="G1584" s="228">
        <f>D1584*E1584</f>
        <v>0</v>
      </c>
    </row>
    <row r="1585" spans="1:7" s="1088" customFormat="1" ht="14.25" x14ac:dyDescent="0.2">
      <c r="A1585" s="1060"/>
      <c r="B1585" s="1068"/>
      <c r="C1585" s="229"/>
      <c r="D1585" s="221"/>
      <c r="E1585" s="226"/>
      <c r="F1585" s="227"/>
      <c r="G1585" s="228">
        <f>D1585*E1585</f>
        <v>0</v>
      </c>
    </row>
    <row r="1586" spans="1:7" s="1088" customFormat="1" ht="14.25" x14ac:dyDescent="0.2">
      <c r="A1586" s="1060"/>
      <c r="B1586" s="1068"/>
      <c r="C1586" s="225"/>
      <c r="D1586" s="221"/>
      <c r="E1586" s="226"/>
      <c r="F1586" s="227"/>
      <c r="G1586" s="228">
        <f>D1586*E1586</f>
        <v>0</v>
      </c>
    </row>
    <row r="1587" spans="1:7" s="1088" customFormat="1" ht="14.25" x14ac:dyDescent="0.2">
      <c r="A1587" s="1069"/>
      <c r="B1587" s="1070"/>
      <c r="C1587" s="230"/>
      <c r="D1587" s="231"/>
      <c r="E1587" s="232"/>
      <c r="F1587" s="233"/>
      <c r="G1587" s="228">
        <f>D1587*E1587</f>
        <v>0</v>
      </c>
    </row>
    <row r="1588" spans="1:7" s="1088" customFormat="1" ht="15" x14ac:dyDescent="0.25">
      <c r="A1588" s="1073"/>
      <c r="B1588" s="210"/>
      <c r="C1588" s="211"/>
      <c r="D1588" s="212"/>
      <c r="E1588" s="212"/>
      <c r="F1588" s="234" t="s">
        <v>121</v>
      </c>
      <c r="G1588" s="231">
        <f>+SUM(G1583:G1587)</f>
        <v>0</v>
      </c>
    </row>
    <row r="1589" spans="1:7" s="1088" customFormat="1" ht="14.25" x14ac:dyDescent="0.2">
      <c r="A1589" s="209"/>
      <c r="B1589" s="212"/>
      <c r="C1589" s="211" t="s">
        <v>123</v>
      </c>
      <c r="D1589" s="212"/>
      <c r="E1589" s="213"/>
      <c r="F1589" s="214"/>
      <c r="G1589" s="215"/>
    </row>
    <row r="1590" spans="1:7" s="1088" customFormat="1" ht="15" x14ac:dyDescent="0.25">
      <c r="A1590" s="216" t="s">
        <v>122</v>
      </c>
      <c r="B1590" s="212"/>
      <c r="C1590" s="211" t="s">
        <v>123</v>
      </c>
      <c r="D1590" s="212"/>
      <c r="E1590" s="213"/>
      <c r="F1590" s="214"/>
      <c r="G1590" s="215"/>
    </row>
    <row r="1591" spans="1:7" s="1088" customFormat="1" ht="14.25" x14ac:dyDescent="0.2">
      <c r="A1591" s="209"/>
      <c r="B1591" s="212"/>
      <c r="C1591" s="211"/>
      <c r="D1591" s="212"/>
      <c r="E1591" s="213"/>
      <c r="F1591" s="214"/>
      <c r="G1591" s="215"/>
    </row>
    <row r="1592" spans="1:7" s="1088" customFormat="1" ht="15" x14ac:dyDescent="0.25">
      <c r="A1592" s="1071" t="s">
        <v>116</v>
      </c>
      <c r="B1592" s="1072"/>
      <c r="C1592" s="235" t="s">
        <v>117</v>
      </c>
      <c r="D1592" s="236" t="s">
        <v>124</v>
      </c>
      <c r="E1592" s="236" t="s">
        <v>125</v>
      </c>
      <c r="F1592" s="237" t="s">
        <v>126</v>
      </c>
      <c r="G1592" s="238" t="s">
        <v>120</v>
      </c>
    </row>
    <row r="1593" spans="1:7" s="1088" customFormat="1" ht="28.5" x14ac:dyDescent="0.2">
      <c r="A1593" s="1066" t="s">
        <v>127</v>
      </c>
      <c r="B1593" s="1067"/>
      <c r="C1593" s="239" t="s">
        <v>128</v>
      </c>
      <c r="D1593" s="240"/>
      <c r="E1593" s="241"/>
      <c r="F1593" s="222"/>
      <c r="G1593" s="242">
        <f>G1607*0.05</f>
        <v>1108.4796800000001</v>
      </c>
    </row>
    <row r="1594" spans="1:7" s="1088" customFormat="1" ht="14.25" x14ac:dyDescent="0.2">
      <c r="A1594" s="1073" t="s">
        <v>174</v>
      </c>
      <c r="B1594" s="1074"/>
      <c r="C1594" s="243" t="s">
        <v>176</v>
      </c>
      <c r="D1594" s="221">
        <v>450000</v>
      </c>
      <c r="E1594" s="244"/>
      <c r="F1594" s="222">
        <f>1/5</f>
        <v>0.2</v>
      </c>
      <c r="G1594" s="224">
        <f>D1594*F1594</f>
        <v>90000</v>
      </c>
    </row>
    <row r="1595" spans="1:7" s="1088" customFormat="1" ht="14.25" x14ac:dyDescent="0.2">
      <c r="A1595" s="1073"/>
      <c r="B1595" s="1074"/>
      <c r="C1595" s="243"/>
      <c r="D1595" s="221"/>
      <c r="E1595" s="244"/>
      <c r="F1595" s="222"/>
      <c r="G1595" s="224"/>
    </row>
    <row r="1596" spans="1:7" s="1088" customFormat="1" ht="14.25" x14ac:dyDescent="0.2">
      <c r="A1596" s="209"/>
      <c r="B1596" s="245"/>
      <c r="C1596" s="246"/>
      <c r="D1596" s="221"/>
      <c r="E1596" s="247"/>
      <c r="F1596" s="222"/>
      <c r="G1596" s="248"/>
    </row>
    <row r="1597" spans="1:7" s="1088" customFormat="1" ht="14.25" x14ac:dyDescent="0.2">
      <c r="A1597" s="249"/>
      <c r="B1597" s="250"/>
      <c r="C1597" s="251"/>
      <c r="D1597" s="252"/>
      <c r="E1597" s="253"/>
      <c r="F1597" s="254"/>
      <c r="G1597" s="255"/>
    </row>
    <row r="1598" spans="1:7" s="1088" customFormat="1" ht="15" x14ac:dyDescent="0.25">
      <c r="A1598" s="209"/>
      <c r="B1598" s="214"/>
      <c r="C1598" s="256"/>
      <c r="D1598" s="214"/>
      <c r="E1598" s="212"/>
      <c r="F1598" s="257" t="s">
        <v>121</v>
      </c>
      <c r="G1598" s="258">
        <f>+SUM(G1593:G1597)</f>
        <v>91108.479680000004</v>
      </c>
    </row>
    <row r="1599" spans="1:7" s="1088" customFormat="1" ht="14.25" x14ac:dyDescent="0.2">
      <c r="A1599" s="209"/>
      <c r="B1599" s="212"/>
      <c r="C1599" s="211"/>
      <c r="D1599" s="212"/>
      <c r="E1599" s="213"/>
      <c r="F1599" s="212"/>
      <c r="G1599" s="215"/>
    </row>
    <row r="1600" spans="1:7" s="1088" customFormat="1" ht="15" x14ac:dyDescent="0.25">
      <c r="A1600" s="216" t="s">
        <v>130</v>
      </c>
      <c r="B1600" s="212"/>
      <c r="C1600" s="211"/>
      <c r="D1600" s="212"/>
      <c r="E1600" s="213"/>
      <c r="F1600" s="214"/>
      <c r="G1600" s="215"/>
    </row>
    <row r="1601" spans="1:7" s="1088" customFormat="1" ht="14.25" x14ac:dyDescent="0.2">
      <c r="A1601" s="209"/>
      <c r="B1601" s="212"/>
      <c r="C1601" s="211"/>
      <c r="D1601" s="212"/>
      <c r="E1601" s="213"/>
      <c r="F1601" s="214"/>
      <c r="G1601" s="215"/>
    </row>
    <row r="1602" spans="1:7" s="1088" customFormat="1" ht="15" x14ac:dyDescent="0.25">
      <c r="A1602" s="1071" t="s">
        <v>116</v>
      </c>
      <c r="B1602" s="1072"/>
      <c r="C1602" s="236" t="s">
        <v>131</v>
      </c>
      <c r="D1602" s="235" t="s">
        <v>132</v>
      </c>
      <c r="E1602" s="236" t="s">
        <v>133</v>
      </c>
      <c r="F1602" s="237" t="s">
        <v>126</v>
      </c>
      <c r="G1602" s="238" t="s">
        <v>134</v>
      </c>
    </row>
    <row r="1603" spans="1:7" s="1088" customFormat="1" ht="14.25" x14ac:dyDescent="0.2">
      <c r="A1603" s="209" t="s">
        <v>10</v>
      </c>
      <c r="B1603" s="259"/>
      <c r="C1603" s="260">
        <f>M2</f>
        <v>22981.8</v>
      </c>
      <c r="D1603" s="261">
        <f>N2</f>
        <v>1.76</v>
      </c>
      <c r="E1603" s="276">
        <f>C1603*D1603</f>
        <v>40447.968000000001</v>
      </c>
      <c r="F1603" s="222">
        <f>1/5</f>
        <v>0.2</v>
      </c>
      <c r="G1603" s="224">
        <f>F1603*E1603</f>
        <v>8089.5936000000002</v>
      </c>
    </row>
    <row r="1604" spans="1:7" s="1088" customFormat="1" ht="14.25" x14ac:dyDescent="0.2">
      <c r="A1604" s="209" t="s">
        <v>140</v>
      </c>
      <c r="B1604" s="259"/>
      <c r="C1604" s="260">
        <f>M3</f>
        <v>40000</v>
      </c>
      <c r="D1604" s="261">
        <f>N3</f>
        <v>1.76</v>
      </c>
      <c r="E1604" s="276">
        <f>C1604*D1604</f>
        <v>70400</v>
      </c>
      <c r="F1604" s="222">
        <f>1/5</f>
        <v>0.2</v>
      </c>
      <c r="G1604" s="224">
        <f>F1604*E1604</f>
        <v>14080</v>
      </c>
    </row>
    <row r="1605" spans="1:7" s="1088" customFormat="1" ht="14.25" x14ac:dyDescent="0.2">
      <c r="A1605" s="209"/>
      <c r="B1605" s="245"/>
      <c r="C1605" s="265"/>
      <c r="D1605" s="246"/>
      <c r="E1605" s="265"/>
      <c r="F1605" s="266"/>
      <c r="G1605" s="267"/>
    </row>
    <row r="1606" spans="1:7" s="1088" customFormat="1" ht="14.25" x14ac:dyDescent="0.2">
      <c r="A1606" s="249"/>
      <c r="B1606" s="250"/>
      <c r="C1606" s="252"/>
      <c r="D1606" s="251"/>
      <c r="E1606" s="252"/>
      <c r="F1606" s="254"/>
      <c r="G1606" s="268"/>
    </row>
    <row r="1607" spans="1:7" s="1088" customFormat="1" ht="15" x14ac:dyDescent="0.25">
      <c r="A1607" s="209"/>
      <c r="B1607" s="212"/>
      <c r="C1607" s="211"/>
      <c r="D1607" s="212"/>
      <c r="E1607" s="269"/>
      <c r="F1607" s="269" t="s">
        <v>121</v>
      </c>
      <c r="G1607" s="270">
        <f>+SUM(G1603:G1606)</f>
        <v>22169.5936</v>
      </c>
    </row>
    <row r="1608" spans="1:7" s="1088" customFormat="1" ht="15" x14ac:dyDescent="0.25">
      <c r="A1608" s="209"/>
      <c r="B1608" s="212"/>
      <c r="C1608" s="211"/>
      <c r="D1608" s="212"/>
      <c r="E1608" s="257"/>
      <c r="F1608" s="257"/>
      <c r="G1608" s="271"/>
    </row>
    <row r="1609" spans="1:7" s="1088" customFormat="1" ht="15" x14ac:dyDescent="0.25">
      <c r="A1609" s="216" t="s">
        <v>135</v>
      </c>
      <c r="B1609" s="212"/>
      <c r="C1609" s="211"/>
      <c r="D1609" s="212"/>
      <c r="E1609" s="213"/>
      <c r="F1609" s="214"/>
      <c r="G1609" s="215"/>
    </row>
    <row r="1610" spans="1:7" s="1088" customFormat="1" ht="14.25" x14ac:dyDescent="0.2">
      <c r="A1610" s="209"/>
      <c r="B1610" s="212"/>
      <c r="C1610" s="211"/>
      <c r="D1610" s="212"/>
      <c r="E1610" s="213"/>
      <c r="F1610" s="214"/>
      <c r="G1610" s="215"/>
    </row>
    <row r="1611" spans="1:7" s="1088" customFormat="1" ht="15" x14ac:dyDescent="0.25">
      <c r="A1611" s="1071" t="s">
        <v>116</v>
      </c>
      <c r="B1611" s="1072"/>
      <c r="C1611" s="236" t="s">
        <v>117</v>
      </c>
      <c r="D1611" s="235" t="s">
        <v>136</v>
      </c>
      <c r="E1611" s="236" t="s">
        <v>124</v>
      </c>
      <c r="F1611" s="237" t="s">
        <v>126</v>
      </c>
      <c r="G1611" s="238" t="s">
        <v>134</v>
      </c>
    </row>
    <row r="1612" spans="1:7" s="1088" customFormat="1" ht="14.25" x14ac:dyDescent="0.2">
      <c r="A1612" s="209" t="s">
        <v>175</v>
      </c>
      <c r="B1612" s="286"/>
      <c r="C1612" s="287" t="s">
        <v>79</v>
      </c>
      <c r="D1612" s="261"/>
      <c r="E1612" s="276">
        <v>68000</v>
      </c>
      <c r="F1612" s="222">
        <f>1/10</f>
        <v>0.1</v>
      </c>
      <c r="G1612" s="224">
        <f>F1612*E1612</f>
        <v>6800</v>
      </c>
    </row>
    <row r="1613" spans="1:7" s="1088" customFormat="1" ht="14.25" x14ac:dyDescent="0.2">
      <c r="A1613" s="209"/>
      <c r="B1613" s="275"/>
      <c r="C1613" s="260"/>
      <c r="D1613" s="261"/>
      <c r="E1613" s="276"/>
      <c r="F1613" s="222"/>
      <c r="G1613" s="224"/>
    </row>
    <row r="1614" spans="1:7" s="1088" customFormat="1" ht="14.25" x14ac:dyDescent="0.2">
      <c r="A1614" s="209"/>
      <c r="B1614" s="259"/>
      <c r="C1614" s="260"/>
      <c r="D1614" s="261"/>
      <c r="E1614" s="276"/>
      <c r="F1614" s="222"/>
      <c r="G1614" s="224"/>
    </row>
    <row r="1615" spans="1:7" s="1088" customFormat="1" ht="14.25" x14ac:dyDescent="0.2">
      <c r="A1615" s="209"/>
      <c r="B1615" s="259"/>
      <c r="C1615" s="260"/>
      <c r="D1615" s="261"/>
      <c r="E1615" s="276"/>
      <c r="F1615" s="222"/>
      <c r="G1615" s="224"/>
    </row>
    <row r="1616" spans="1:7" s="1088" customFormat="1" ht="14.25" x14ac:dyDescent="0.2">
      <c r="A1616" s="209"/>
      <c r="B1616" s="245"/>
      <c r="C1616" s="265"/>
      <c r="D1616" s="246"/>
      <c r="E1616" s="265"/>
      <c r="F1616" s="266"/>
      <c r="G1616" s="267"/>
    </row>
    <row r="1617" spans="1:8" s="1088" customFormat="1" ht="14.25" x14ac:dyDescent="0.2">
      <c r="A1617" s="249"/>
      <c r="B1617" s="250"/>
      <c r="C1617" s="252"/>
      <c r="D1617" s="251"/>
      <c r="E1617" s="252"/>
      <c r="F1617" s="254"/>
      <c r="G1617" s="268"/>
    </row>
    <row r="1618" spans="1:8" s="1088" customFormat="1" ht="15" x14ac:dyDescent="0.25">
      <c r="A1618" s="209"/>
      <c r="B1618" s="212"/>
      <c r="C1618" s="211"/>
      <c r="D1618" s="212"/>
      <c r="E1618" s="269"/>
      <c r="F1618" s="269" t="s">
        <v>121</v>
      </c>
      <c r="G1618" s="270">
        <f>+SUM(G1612:G1617)</f>
        <v>6800</v>
      </c>
    </row>
    <row r="1619" spans="1:8" s="1088" customFormat="1" ht="14.25" x14ac:dyDescent="0.2">
      <c r="A1619" s="209"/>
      <c r="B1619" s="212"/>
      <c r="C1619" s="211"/>
      <c r="D1619" s="212"/>
      <c r="E1619" s="213"/>
      <c r="F1619" s="214"/>
      <c r="G1619" s="271"/>
    </row>
    <row r="1620" spans="1:8" s="1088" customFormat="1" ht="15" x14ac:dyDescent="0.25">
      <c r="A1620" s="277"/>
      <c r="B1620" s="278"/>
      <c r="C1620" s="278"/>
      <c r="D1620" s="278"/>
      <c r="E1620" s="279"/>
      <c r="F1620" s="280" t="s">
        <v>137</v>
      </c>
      <c r="G1620" s="283">
        <f>+ROUND(G1588+G1598+G1607+G1618,0)</f>
        <v>120078</v>
      </c>
    </row>
    <row r="1621" spans="1:8" s="1088" customFormat="1" ht="15" x14ac:dyDescent="0.25">
      <c r="A1621" s="209"/>
      <c r="B1621" s="212"/>
      <c r="C1621" s="212"/>
      <c r="D1621" s="212"/>
      <c r="E1621" s="211"/>
      <c r="F1621" s="257"/>
      <c r="G1621" s="257"/>
      <c r="H1621" s="257"/>
    </row>
    <row r="1622" spans="1:8" s="1088" customFormat="1" ht="15" x14ac:dyDescent="0.25">
      <c r="A1622" s="209"/>
      <c r="B1622" s="212"/>
      <c r="C1622" s="212"/>
      <c r="D1622" s="212"/>
      <c r="E1622" s="211"/>
      <c r="F1622" s="257"/>
      <c r="G1622" s="257"/>
    </row>
    <row r="1623" spans="1:8" s="1088" customFormat="1" ht="15" x14ac:dyDescent="0.25">
      <c r="A1623" s="145" t="s">
        <v>160</v>
      </c>
      <c r="B1623" s="1262" t="s">
        <v>161</v>
      </c>
      <c r="C1623" s="1263"/>
      <c r="D1623" s="1263"/>
      <c r="E1623" s="1263"/>
      <c r="F1623" s="1264"/>
      <c r="G1623" s="146" t="s">
        <v>2</v>
      </c>
    </row>
    <row r="1624" spans="1:8" s="1088" customFormat="1" ht="15" x14ac:dyDescent="0.25">
      <c r="A1624" s="285">
        <f>'FORMATO PROPUESTA ECONÓMICA'!A55</f>
        <v>6.23</v>
      </c>
      <c r="B1624" s="1265" t="str">
        <f>'FORMATO PROPUESTA ECONÓMICA'!B55</f>
        <v>Portabrida PEAD PN10 d= 63mm</v>
      </c>
      <c r="C1624" s="1266"/>
      <c r="D1624" s="1266"/>
      <c r="E1624" s="1266"/>
      <c r="F1624" s="1267"/>
      <c r="G1624" s="187" t="str">
        <f>'FORMATO PROPUESTA ECONÓMICA'!C55</f>
        <v>und</v>
      </c>
    </row>
    <row r="1625" spans="1:8" s="1088" customFormat="1" ht="14.25" x14ac:dyDescent="0.2">
      <c r="A1625" s="209"/>
      <c r="B1625" s="210"/>
      <c r="C1625" s="211"/>
      <c r="D1625" s="212"/>
      <c r="E1625" s="213"/>
      <c r="F1625" s="214"/>
      <c r="G1625" s="215"/>
    </row>
    <row r="1626" spans="1:8" s="1088" customFormat="1" ht="15" x14ac:dyDescent="0.25">
      <c r="A1626" s="216" t="s">
        <v>115</v>
      </c>
      <c r="B1626" s="212"/>
      <c r="C1626" s="211"/>
      <c r="D1626" s="212"/>
      <c r="E1626" s="213"/>
      <c r="F1626" s="214"/>
      <c r="G1626" s="215"/>
    </row>
    <row r="1627" spans="1:8" s="1088" customFormat="1" ht="14.25" x14ac:dyDescent="0.2">
      <c r="A1627" s="209"/>
      <c r="B1627" s="212"/>
      <c r="C1627" s="211"/>
      <c r="D1627" s="212"/>
      <c r="E1627" s="213"/>
      <c r="F1627" s="214"/>
      <c r="G1627" s="215"/>
    </row>
    <row r="1628" spans="1:8" s="1088" customFormat="1" ht="15" customHeight="1" x14ac:dyDescent="0.25">
      <c r="A1628" s="1075" t="s">
        <v>116</v>
      </c>
      <c r="B1628" s="1076"/>
      <c r="C1628" s="217" t="s">
        <v>117</v>
      </c>
      <c r="D1628" s="1075" t="s">
        <v>118</v>
      </c>
      <c r="E1628" s="218" t="s">
        <v>39</v>
      </c>
      <c r="F1628" s="1075" t="s">
        <v>119</v>
      </c>
      <c r="G1628" s="219" t="s">
        <v>120</v>
      </c>
    </row>
    <row r="1629" spans="1:8" s="1088" customFormat="1" ht="14.25" x14ac:dyDescent="0.2">
      <c r="A1629" s="209"/>
      <c r="B1629" s="286"/>
      <c r="C1629" s="220"/>
      <c r="D1629" s="261"/>
      <c r="E1629" s="276"/>
      <c r="F1629" s="222"/>
      <c r="G1629" s="224"/>
    </row>
    <row r="1630" spans="1:8" s="1088" customFormat="1" ht="14.25" x14ac:dyDescent="0.2">
      <c r="A1630" s="1060"/>
      <c r="B1630" s="1068"/>
      <c r="C1630" s="225"/>
      <c r="D1630" s="221"/>
      <c r="E1630" s="226"/>
      <c r="F1630" s="227"/>
      <c r="G1630" s="228">
        <f>D1630*E1630</f>
        <v>0</v>
      </c>
    </row>
    <row r="1631" spans="1:8" s="1088" customFormat="1" ht="14.25" x14ac:dyDescent="0.2">
      <c r="A1631" s="1060"/>
      <c r="B1631" s="1068"/>
      <c r="C1631" s="229"/>
      <c r="D1631" s="221"/>
      <c r="E1631" s="226"/>
      <c r="F1631" s="227"/>
      <c r="G1631" s="228">
        <f>D1631*E1631</f>
        <v>0</v>
      </c>
    </row>
    <row r="1632" spans="1:8" s="1088" customFormat="1" ht="14.25" x14ac:dyDescent="0.2">
      <c r="A1632" s="1060"/>
      <c r="B1632" s="1068"/>
      <c r="C1632" s="225"/>
      <c r="D1632" s="221"/>
      <c r="E1632" s="226"/>
      <c r="F1632" s="227"/>
      <c r="G1632" s="228">
        <f>D1632*E1632</f>
        <v>0</v>
      </c>
    </row>
    <row r="1633" spans="1:7" s="1088" customFormat="1" ht="14.25" x14ac:dyDescent="0.2">
      <c r="A1633" s="1069"/>
      <c r="B1633" s="1070"/>
      <c r="C1633" s="230"/>
      <c r="D1633" s="231"/>
      <c r="E1633" s="232"/>
      <c r="F1633" s="233"/>
      <c r="G1633" s="228">
        <f>D1633*E1633</f>
        <v>0</v>
      </c>
    </row>
    <row r="1634" spans="1:7" s="1088" customFormat="1" ht="15" x14ac:dyDescent="0.25">
      <c r="A1634" s="1073"/>
      <c r="B1634" s="210"/>
      <c r="C1634" s="211"/>
      <c r="D1634" s="212"/>
      <c r="E1634" s="212"/>
      <c r="F1634" s="234" t="s">
        <v>121</v>
      </c>
      <c r="G1634" s="231">
        <f>+SUM(G1629:G1633)</f>
        <v>0</v>
      </c>
    </row>
    <row r="1635" spans="1:7" s="1088" customFormat="1" ht="14.25" x14ac:dyDescent="0.2">
      <c r="A1635" s="209"/>
      <c r="B1635" s="212"/>
      <c r="C1635" s="211" t="s">
        <v>123</v>
      </c>
      <c r="D1635" s="212"/>
      <c r="E1635" s="213"/>
      <c r="F1635" s="214"/>
      <c r="G1635" s="215"/>
    </row>
    <row r="1636" spans="1:7" s="1088" customFormat="1" ht="15" x14ac:dyDescent="0.25">
      <c r="A1636" s="216" t="s">
        <v>122</v>
      </c>
      <c r="B1636" s="212"/>
      <c r="C1636" s="211" t="s">
        <v>123</v>
      </c>
      <c r="D1636" s="212"/>
      <c r="E1636" s="213"/>
      <c r="F1636" s="214"/>
      <c r="G1636" s="215"/>
    </row>
    <row r="1637" spans="1:7" s="1088" customFormat="1" ht="14.25" x14ac:dyDescent="0.2">
      <c r="A1637" s="209"/>
      <c r="B1637" s="212"/>
      <c r="C1637" s="211"/>
      <c r="D1637" s="212"/>
      <c r="E1637" s="213"/>
      <c r="F1637" s="214"/>
      <c r="G1637" s="215"/>
    </row>
    <row r="1638" spans="1:7" s="1088" customFormat="1" ht="15" x14ac:dyDescent="0.25">
      <c r="A1638" s="1071" t="s">
        <v>116</v>
      </c>
      <c r="B1638" s="1072"/>
      <c r="C1638" s="235" t="s">
        <v>117</v>
      </c>
      <c r="D1638" s="236" t="s">
        <v>124</v>
      </c>
      <c r="E1638" s="236" t="s">
        <v>125</v>
      </c>
      <c r="F1638" s="237" t="s">
        <v>126</v>
      </c>
      <c r="G1638" s="238" t="s">
        <v>120</v>
      </c>
    </row>
    <row r="1639" spans="1:7" s="1088" customFormat="1" ht="28.5" x14ac:dyDescent="0.2">
      <c r="A1639" s="1066" t="s">
        <v>127</v>
      </c>
      <c r="B1639" s="1067"/>
      <c r="C1639" s="239" t="s">
        <v>128</v>
      </c>
      <c r="D1639" s="240"/>
      <c r="E1639" s="241"/>
      <c r="F1639" s="222"/>
      <c r="G1639" s="242">
        <f>G1653*0.05</f>
        <v>277.11992000000004</v>
      </c>
    </row>
    <row r="1640" spans="1:7" s="1088" customFormat="1" ht="14.25" x14ac:dyDescent="0.2">
      <c r="A1640" s="1073" t="s">
        <v>174</v>
      </c>
      <c r="B1640" s="1074"/>
      <c r="C1640" s="243" t="s">
        <v>176</v>
      </c>
      <c r="D1640" s="221">
        <v>450000</v>
      </c>
      <c r="E1640" s="244"/>
      <c r="F1640" s="222">
        <v>20</v>
      </c>
      <c r="G1640" s="224">
        <f>D1640/F1640</f>
        <v>22500</v>
      </c>
    </row>
    <row r="1641" spans="1:7" s="1088" customFormat="1" ht="14.25" x14ac:dyDescent="0.2">
      <c r="A1641" s="1073"/>
      <c r="B1641" s="1074"/>
      <c r="C1641" s="243"/>
      <c r="D1641" s="221"/>
      <c r="E1641" s="244"/>
      <c r="F1641" s="222"/>
      <c r="G1641" s="224"/>
    </row>
    <row r="1642" spans="1:7" s="1088" customFormat="1" ht="14.25" x14ac:dyDescent="0.2">
      <c r="A1642" s="209"/>
      <c r="B1642" s="245"/>
      <c r="C1642" s="246"/>
      <c r="D1642" s="221"/>
      <c r="E1642" s="247"/>
      <c r="F1642" s="222"/>
      <c r="G1642" s="248"/>
    </row>
    <row r="1643" spans="1:7" s="1088" customFormat="1" ht="14.25" x14ac:dyDescent="0.2">
      <c r="A1643" s="249"/>
      <c r="B1643" s="250"/>
      <c r="C1643" s="251"/>
      <c r="D1643" s="252"/>
      <c r="E1643" s="253"/>
      <c r="F1643" s="254"/>
      <c r="G1643" s="255"/>
    </row>
    <row r="1644" spans="1:7" s="1088" customFormat="1" ht="15" x14ac:dyDescent="0.25">
      <c r="A1644" s="209"/>
      <c r="B1644" s="214"/>
      <c r="C1644" s="256"/>
      <c r="D1644" s="214"/>
      <c r="E1644" s="212"/>
      <c r="F1644" s="257" t="s">
        <v>121</v>
      </c>
      <c r="G1644" s="258">
        <f>+SUM(G1639:G1643)</f>
        <v>22777.119920000001</v>
      </c>
    </row>
    <row r="1645" spans="1:7" s="1088" customFormat="1" ht="14.25" x14ac:dyDescent="0.2">
      <c r="A1645" s="209"/>
      <c r="B1645" s="212"/>
      <c r="C1645" s="211"/>
      <c r="D1645" s="212"/>
      <c r="E1645" s="213"/>
      <c r="F1645" s="212"/>
      <c r="G1645" s="215"/>
    </row>
    <row r="1646" spans="1:7" s="1088" customFormat="1" ht="15" x14ac:dyDescent="0.25">
      <c r="A1646" s="216" t="s">
        <v>130</v>
      </c>
      <c r="B1646" s="212"/>
      <c r="C1646" s="211"/>
      <c r="D1646" s="212"/>
      <c r="E1646" s="213"/>
      <c r="F1646" s="214"/>
      <c r="G1646" s="215"/>
    </row>
    <row r="1647" spans="1:7" s="1088" customFormat="1" ht="14.25" x14ac:dyDescent="0.2">
      <c r="A1647" s="209"/>
      <c r="B1647" s="212"/>
      <c r="C1647" s="211"/>
      <c r="D1647" s="212"/>
      <c r="E1647" s="213"/>
      <c r="F1647" s="214"/>
      <c r="G1647" s="215"/>
    </row>
    <row r="1648" spans="1:7" s="1088" customFormat="1" ht="15" x14ac:dyDescent="0.25">
      <c r="A1648" s="1071" t="s">
        <v>116</v>
      </c>
      <c r="B1648" s="1072"/>
      <c r="C1648" s="236" t="s">
        <v>131</v>
      </c>
      <c r="D1648" s="235" t="s">
        <v>132</v>
      </c>
      <c r="E1648" s="236" t="s">
        <v>133</v>
      </c>
      <c r="F1648" s="237" t="s">
        <v>126</v>
      </c>
      <c r="G1648" s="238" t="s">
        <v>134</v>
      </c>
    </row>
    <row r="1649" spans="1:7" s="1088" customFormat="1" ht="14.25" x14ac:dyDescent="0.2">
      <c r="A1649" s="209" t="s">
        <v>10</v>
      </c>
      <c r="B1649" s="259"/>
      <c r="C1649" s="260">
        <f>M2</f>
        <v>22981.8</v>
      </c>
      <c r="D1649" s="261">
        <f>N2</f>
        <v>1.76</v>
      </c>
      <c r="E1649" s="276">
        <f>C1649*D1649</f>
        <v>40447.968000000001</v>
      </c>
      <c r="F1649" s="222">
        <f>1/20</f>
        <v>0.05</v>
      </c>
      <c r="G1649" s="224">
        <f>F1649*E1649</f>
        <v>2022.3984</v>
      </c>
    </row>
    <row r="1650" spans="1:7" s="1088" customFormat="1" ht="14.25" x14ac:dyDescent="0.2">
      <c r="A1650" s="209" t="s">
        <v>140</v>
      </c>
      <c r="B1650" s="259"/>
      <c r="C1650" s="260">
        <f>M3</f>
        <v>40000</v>
      </c>
      <c r="D1650" s="261">
        <f>N3</f>
        <v>1.76</v>
      </c>
      <c r="E1650" s="276">
        <f>C1650*D1650</f>
        <v>70400</v>
      </c>
      <c r="F1650" s="222">
        <f>1/20</f>
        <v>0.05</v>
      </c>
      <c r="G1650" s="224">
        <f>F1650*E1650</f>
        <v>3520</v>
      </c>
    </row>
    <row r="1651" spans="1:7" s="1088" customFormat="1" ht="14.25" x14ac:dyDescent="0.2">
      <c r="A1651" s="209"/>
      <c r="B1651" s="245"/>
      <c r="C1651" s="265"/>
      <c r="D1651" s="246"/>
      <c r="E1651" s="265"/>
      <c r="F1651" s="266"/>
      <c r="G1651" s="267"/>
    </row>
    <row r="1652" spans="1:7" s="1088" customFormat="1" ht="14.25" x14ac:dyDescent="0.2">
      <c r="A1652" s="249"/>
      <c r="B1652" s="250"/>
      <c r="C1652" s="252"/>
      <c r="D1652" s="251"/>
      <c r="E1652" s="252"/>
      <c r="F1652" s="254"/>
      <c r="G1652" s="268"/>
    </row>
    <row r="1653" spans="1:7" s="1088" customFormat="1" ht="15" x14ac:dyDescent="0.25">
      <c r="A1653" s="209"/>
      <c r="B1653" s="212"/>
      <c r="C1653" s="211"/>
      <c r="D1653" s="212"/>
      <c r="E1653" s="269"/>
      <c r="F1653" s="269" t="s">
        <v>121</v>
      </c>
      <c r="G1653" s="270">
        <f>+SUM(G1649:G1652)</f>
        <v>5542.3984</v>
      </c>
    </row>
    <row r="1654" spans="1:7" s="1088" customFormat="1" ht="15" x14ac:dyDescent="0.25">
      <c r="A1654" s="209"/>
      <c r="B1654" s="212"/>
      <c r="C1654" s="211"/>
      <c r="D1654" s="212"/>
      <c r="E1654" s="257"/>
      <c r="F1654" s="257"/>
      <c r="G1654" s="271"/>
    </row>
    <row r="1655" spans="1:7" s="1088" customFormat="1" ht="15" x14ac:dyDescent="0.25">
      <c r="A1655" s="216" t="s">
        <v>135</v>
      </c>
      <c r="B1655" s="212"/>
      <c r="C1655" s="211"/>
      <c r="D1655" s="212"/>
      <c r="E1655" s="213"/>
      <c r="F1655" s="214"/>
      <c r="G1655" s="215"/>
    </row>
    <row r="1656" spans="1:7" s="1088" customFormat="1" ht="14.25" x14ac:dyDescent="0.2">
      <c r="A1656" s="209"/>
      <c r="B1656" s="212"/>
      <c r="C1656" s="211"/>
      <c r="D1656" s="212"/>
      <c r="E1656" s="213"/>
      <c r="F1656" s="214"/>
      <c r="G1656" s="215"/>
    </row>
    <row r="1657" spans="1:7" s="1088" customFormat="1" ht="15" x14ac:dyDescent="0.25">
      <c r="A1657" s="1071" t="s">
        <v>116</v>
      </c>
      <c r="B1657" s="1072"/>
      <c r="C1657" s="236" t="s">
        <v>117</v>
      </c>
      <c r="D1657" s="235" t="s">
        <v>136</v>
      </c>
      <c r="E1657" s="236" t="s">
        <v>124</v>
      </c>
      <c r="F1657" s="237" t="s">
        <v>126</v>
      </c>
      <c r="G1657" s="238" t="s">
        <v>134</v>
      </c>
    </row>
    <row r="1658" spans="1:7" s="1088" customFormat="1" ht="14.25" x14ac:dyDescent="0.2">
      <c r="A1658" s="209" t="s">
        <v>175</v>
      </c>
      <c r="B1658" s="286"/>
      <c r="C1658" s="287" t="s">
        <v>79</v>
      </c>
      <c r="D1658" s="261"/>
      <c r="E1658" s="276">
        <v>68000</v>
      </c>
      <c r="F1658" s="222">
        <f>1/20</f>
        <v>0.05</v>
      </c>
      <c r="G1658" s="224">
        <f>F1658*E1658</f>
        <v>3400</v>
      </c>
    </row>
    <row r="1659" spans="1:7" s="1088" customFormat="1" ht="14.25" x14ac:dyDescent="0.2">
      <c r="A1659" s="209"/>
      <c r="B1659" s="275"/>
      <c r="C1659" s="260"/>
      <c r="D1659" s="261"/>
      <c r="E1659" s="276"/>
      <c r="F1659" s="222"/>
      <c r="G1659" s="224"/>
    </row>
    <row r="1660" spans="1:7" s="1088" customFormat="1" ht="14.25" x14ac:dyDescent="0.2">
      <c r="A1660" s="209"/>
      <c r="B1660" s="259"/>
      <c r="C1660" s="260"/>
      <c r="D1660" s="261"/>
      <c r="E1660" s="276"/>
      <c r="F1660" s="222"/>
      <c r="G1660" s="224"/>
    </row>
    <row r="1661" spans="1:7" s="1088" customFormat="1" ht="14.25" x14ac:dyDescent="0.2">
      <c r="A1661" s="209"/>
      <c r="B1661" s="259"/>
      <c r="C1661" s="260"/>
      <c r="D1661" s="261"/>
      <c r="E1661" s="276"/>
      <c r="F1661" s="222"/>
      <c r="G1661" s="224"/>
    </row>
    <row r="1662" spans="1:7" s="1088" customFormat="1" ht="14.25" x14ac:dyDescent="0.2">
      <c r="A1662" s="209"/>
      <c r="B1662" s="245"/>
      <c r="C1662" s="265"/>
      <c r="D1662" s="246"/>
      <c r="E1662" s="265"/>
      <c r="F1662" s="266"/>
      <c r="G1662" s="267"/>
    </row>
    <row r="1663" spans="1:7" s="1088" customFormat="1" ht="14.25" x14ac:dyDescent="0.2">
      <c r="A1663" s="249"/>
      <c r="B1663" s="250"/>
      <c r="C1663" s="252"/>
      <c r="D1663" s="251"/>
      <c r="E1663" s="252"/>
      <c r="F1663" s="254"/>
      <c r="G1663" s="268"/>
    </row>
    <row r="1664" spans="1:7" s="1088" customFormat="1" ht="15" x14ac:dyDescent="0.25">
      <c r="A1664" s="209"/>
      <c r="B1664" s="212"/>
      <c r="C1664" s="211"/>
      <c r="D1664" s="212"/>
      <c r="E1664" s="269"/>
      <c r="F1664" s="269" t="s">
        <v>121</v>
      </c>
      <c r="G1664" s="270">
        <f>+SUM(G1658:G1663)</f>
        <v>3400</v>
      </c>
    </row>
    <row r="1665" spans="1:7" s="1088" customFormat="1" ht="14.25" x14ac:dyDescent="0.2">
      <c r="A1665" s="209"/>
      <c r="B1665" s="212"/>
      <c r="C1665" s="211"/>
      <c r="D1665" s="212"/>
      <c r="E1665" s="213"/>
      <c r="F1665" s="214"/>
      <c r="G1665" s="271"/>
    </row>
    <row r="1666" spans="1:7" s="1088" customFormat="1" ht="15" x14ac:dyDescent="0.25">
      <c r="A1666" s="277"/>
      <c r="B1666" s="278"/>
      <c r="C1666" s="278"/>
      <c r="D1666" s="278"/>
      <c r="E1666" s="279"/>
      <c r="F1666" s="280" t="s">
        <v>137</v>
      </c>
      <c r="G1666" s="283">
        <f>+ROUND(G1634+G1644+G1653+G1664,0)</f>
        <v>31720</v>
      </c>
    </row>
    <row r="1667" spans="1:7" s="1088" customFormat="1" ht="15" x14ac:dyDescent="0.25">
      <c r="A1667" s="277"/>
      <c r="B1667" s="278"/>
      <c r="C1667" s="278"/>
      <c r="D1667" s="278"/>
      <c r="E1667" s="279"/>
      <c r="F1667" s="280"/>
      <c r="G1667" s="280"/>
    </row>
    <row r="1668" spans="1:7" s="1088" customFormat="1" ht="15" x14ac:dyDescent="0.25">
      <c r="A1668" s="145" t="s">
        <v>160</v>
      </c>
      <c r="B1668" s="1262" t="s">
        <v>161</v>
      </c>
      <c r="C1668" s="1263"/>
      <c r="D1668" s="1263"/>
      <c r="E1668" s="1263"/>
      <c r="F1668" s="1264"/>
      <c r="G1668" s="146" t="s">
        <v>2</v>
      </c>
    </row>
    <row r="1669" spans="1:7" s="1088" customFormat="1" ht="15" x14ac:dyDescent="0.25">
      <c r="A1669" s="285">
        <f>'FORMATO PROPUESTA ECONÓMICA'!A56</f>
        <v>6.24</v>
      </c>
      <c r="B1669" s="1265" t="str">
        <f>'FORMATO PROPUESTA ECONÓMICA'!B56</f>
        <v>Portabrida PEAD PN10 d= 90mm</v>
      </c>
      <c r="C1669" s="1266"/>
      <c r="D1669" s="1266"/>
      <c r="E1669" s="1266"/>
      <c r="F1669" s="1267"/>
      <c r="G1669" s="187" t="str">
        <f>'FORMATO PROPUESTA ECONÓMICA'!C56</f>
        <v>und</v>
      </c>
    </row>
    <row r="1670" spans="1:7" s="1088" customFormat="1" ht="14.25" x14ac:dyDescent="0.2">
      <c r="A1670" s="209"/>
      <c r="B1670" s="210"/>
      <c r="C1670" s="211"/>
      <c r="D1670" s="212"/>
      <c r="E1670" s="213"/>
      <c r="F1670" s="214"/>
      <c r="G1670" s="215"/>
    </row>
    <row r="1671" spans="1:7" s="1088" customFormat="1" ht="15" x14ac:dyDescent="0.25">
      <c r="A1671" s="216" t="s">
        <v>115</v>
      </c>
      <c r="B1671" s="212"/>
      <c r="C1671" s="211"/>
      <c r="D1671" s="212"/>
      <c r="E1671" s="213"/>
      <c r="F1671" s="214"/>
      <c r="G1671" s="215"/>
    </row>
    <row r="1672" spans="1:7" s="1088" customFormat="1" ht="14.25" x14ac:dyDescent="0.2">
      <c r="A1672" s="209"/>
      <c r="B1672" s="212"/>
      <c r="C1672" s="211"/>
      <c r="D1672" s="212"/>
      <c r="E1672" s="213"/>
      <c r="F1672" s="214"/>
      <c r="G1672" s="215"/>
    </row>
    <row r="1673" spans="1:7" s="1088" customFormat="1" ht="15" customHeight="1" x14ac:dyDescent="0.25">
      <c r="A1673" s="1075" t="s">
        <v>116</v>
      </c>
      <c r="B1673" s="1076"/>
      <c r="C1673" s="217" t="s">
        <v>117</v>
      </c>
      <c r="D1673" s="1075" t="s">
        <v>118</v>
      </c>
      <c r="E1673" s="218" t="s">
        <v>39</v>
      </c>
      <c r="F1673" s="1075" t="s">
        <v>119</v>
      </c>
      <c r="G1673" s="219" t="s">
        <v>120</v>
      </c>
    </row>
    <row r="1674" spans="1:7" s="1088" customFormat="1" ht="14.25" x14ac:dyDescent="0.2">
      <c r="A1674" s="209"/>
      <c r="B1674" s="286"/>
      <c r="C1674" s="220"/>
      <c r="D1674" s="261"/>
      <c r="E1674" s="276"/>
      <c r="F1674" s="222"/>
      <c r="G1674" s="224"/>
    </row>
    <row r="1675" spans="1:7" s="1088" customFormat="1" ht="14.25" x14ac:dyDescent="0.2">
      <c r="A1675" s="1060"/>
      <c r="B1675" s="1068"/>
      <c r="C1675" s="225"/>
      <c r="D1675" s="221"/>
      <c r="E1675" s="226"/>
      <c r="F1675" s="227"/>
      <c r="G1675" s="228">
        <f>D1675*E1675</f>
        <v>0</v>
      </c>
    </row>
    <row r="1676" spans="1:7" s="1088" customFormat="1" ht="14.25" x14ac:dyDescent="0.2">
      <c r="A1676" s="1060"/>
      <c r="B1676" s="1068"/>
      <c r="C1676" s="229"/>
      <c r="D1676" s="221"/>
      <c r="E1676" s="226"/>
      <c r="F1676" s="227"/>
      <c r="G1676" s="228">
        <f>D1676*E1676</f>
        <v>0</v>
      </c>
    </row>
    <row r="1677" spans="1:7" s="1088" customFormat="1" ht="14.25" x14ac:dyDescent="0.2">
      <c r="A1677" s="1060"/>
      <c r="B1677" s="1068"/>
      <c r="C1677" s="225"/>
      <c r="D1677" s="221"/>
      <c r="E1677" s="226"/>
      <c r="F1677" s="227"/>
      <c r="G1677" s="228">
        <f>D1677*E1677</f>
        <v>0</v>
      </c>
    </row>
    <row r="1678" spans="1:7" s="1088" customFormat="1" ht="14.25" x14ac:dyDescent="0.2">
      <c r="A1678" s="1069"/>
      <c r="B1678" s="1070"/>
      <c r="C1678" s="230"/>
      <c r="D1678" s="231"/>
      <c r="E1678" s="232"/>
      <c r="F1678" s="233"/>
      <c r="G1678" s="228">
        <f>D1678*E1678</f>
        <v>0</v>
      </c>
    </row>
    <row r="1679" spans="1:7" s="1088" customFormat="1" ht="15" x14ac:dyDescent="0.25">
      <c r="A1679" s="1073"/>
      <c r="B1679" s="210"/>
      <c r="C1679" s="211"/>
      <c r="D1679" s="212"/>
      <c r="E1679" s="212"/>
      <c r="F1679" s="234" t="s">
        <v>121</v>
      </c>
      <c r="G1679" s="231">
        <f>+SUM(G1674:G1678)</f>
        <v>0</v>
      </c>
    </row>
    <row r="1680" spans="1:7" s="1088" customFormat="1" ht="14.25" x14ac:dyDescent="0.2">
      <c r="A1680" s="209"/>
      <c r="B1680" s="212"/>
      <c r="C1680" s="211" t="s">
        <v>123</v>
      </c>
      <c r="D1680" s="212"/>
      <c r="E1680" s="213"/>
      <c r="F1680" s="214"/>
      <c r="G1680" s="215"/>
    </row>
    <row r="1681" spans="1:7" s="1088" customFormat="1" ht="15" x14ac:dyDescent="0.25">
      <c r="A1681" s="216" t="s">
        <v>122</v>
      </c>
      <c r="B1681" s="212"/>
      <c r="C1681" s="211" t="s">
        <v>123</v>
      </c>
      <c r="D1681" s="212"/>
      <c r="E1681" s="213"/>
      <c r="F1681" s="214"/>
      <c r="G1681" s="215"/>
    </row>
    <row r="1682" spans="1:7" s="1088" customFormat="1" ht="14.25" x14ac:dyDescent="0.2">
      <c r="A1682" s="209"/>
      <c r="B1682" s="212"/>
      <c r="C1682" s="211"/>
      <c r="D1682" s="212"/>
      <c r="E1682" s="213"/>
      <c r="F1682" s="214"/>
      <c r="G1682" s="215"/>
    </row>
    <row r="1683" spans="1:7" s="1088" customFormat="1" ht="15" x14ac:dyDescent="0.25">
      <c r="A1683" s="1071" t="s">
        <v>116</v>
      </c>
      <c r="B1683" s="1072"/>
      <c r="C1683" s="235" t="s">
        <v>117</v>
      </c>
      <c r="D1683" s="236" t="s">
        <v>124</v>
      </c>
      <c r="E1683" s="236" t="s">
        <v>125</v>
      </c>
      <c r="F1683" s="237" t="s">
        <v>126</v>
      </c>
      <c r="G1683" s="238" t="s">
        <v>120</v>
      </c>
    </row>
    <row r="1684" spans="1:7" s="1088" customFormat="1" ht="28.5" x14ac:dyDescent="0.2">
      <c r="A1684" s="1066" t="s">
        <v>127</v>
      </c>
      <c r="B1684" s="1067"/>
      <c r="C1684" s="239" t="s">
        <v>128</v>
      </c>
      <c r="D1684" s="240"/>
      <c r="E1684" s="241"/>
      <c r="F1684" s="222"/>
      <c r="G1684" s="242">
        <f>G1698*0.05</f>
        <v>307.91102222222224</v>
      </c>
    </row>
    <row r="1685" spans="1:7" s="1088" customFormat="1" ht="14.25" x14ac:dyDescent="0.2">
      <c r="A1685" s="1073" t="s">
        <v>174</v>
      </c>
      <c r="B1685" s="1074"/>
      <c r="C1685" s="243" t="s">
        <v>176</v>
      </c>
      <c r="D1685" s="221">
        <v>450000</v>
      </c>
      <c r="E1685" s="244"/>
      <c r="F1685" s="222">
        <v>18</v>
      </c>
      <c r="G1685" s="224">
        <f>D1685/F1685</f>
        <v>25000</v>
      </c>
    </row>
    <row r="1686" spans="1:7" s="1088" customFormat="1" ht="14.25" x14ac:dyDescent="0.2">
      <c r="A1686" s="1073"/>
      <c r="B1686" s="1074"/>
      <c r="C1686" s="243"/>
      <c r="D1686" s="221"/>
      <c r="E1686" s="244"/>
      <c r="F1686" s="222"/>
      <c r="G1686" s="224"/>
    </row>
    <row r="1687" spans="1:7" s="1088" customFormat="1" ht="14.25" x14ac:dyDescent="0.2">
      <c r="A1687" s="209"/>
      <c r="B1687" s="245"/>
      <c r="C1687" s="246"/>
      <c r="D1687" s="221"/>
      <c r="E1687" s="247"/>
      <c r="F1687" s="222"/>
      <c r="G1687" s="248"/>
    </row>
    <row r="1688" spans="1:7" s="1088" customFormat="1" ht="14.25" x14ac:dyDescent="0.2">
      <c r="A1688" s="249"/>
      <c r="B1688" s="250"/>
      <c r="C1688" s="251"/>
      <c r="D1688" s="252"/>
      <c r="E1688" s="253"/>
      <c r="F1688" s="254"/>
      <c r="G1688" s="255"/>
    </row>
    <row r="1689" spans="1:7" s="1088" customFormat="1" ht="15" x14ac:dyDescent="0.25">
      <c r="A1689" s="209"/>
      <c r="B1689" s="214"/>
      <c r="C1689" s="256"/>
      <c r="D1689" s="214"/>
      <c r="E1689" s="212"/>
      <c r="F1689" s="257" t="s">
        <v>121</v>
      </c>
      <c r="G1689" s="258">
        <f>+SUM(G1684:G1688)</f>
        <v>25307.911022222223</v>
      </c>
    </row>
    <row r="1690" spans="1:7" s="1088" customFormat="1" ht="14.25" x14ac:dyDescent="0.2">
      <c r="A1690" s="209"/>
      <c r="B1690" s="212"/>
      <c r="C1690" s="211"/>
      <c r="D1690" s="212"/>
      <c r="E1690" s="213"/>
      <c r="F1690" s="212"/>
      <c r="G1690" s="215"/>
    </row>
    <row r="1691" spans="1:7" s="1088" customFormat="1" ht="15" x14ac:dyDescent="0.25">
      <c r="A1691" s="216" t="s">
        <v>130</v>
      </c>
      <c r="B1691" s="212"/>
      <c r="C1691" s="211"/>
      <c r="D1691" s="212"/>
      <c r="E1691" s="213"/>
      <c r="F1691" s="214"/>
      <c r="G1691" s="215"/>
    </row>
    <row r="1692" spans="1:7" s="1088" customFormat="1" ht="14.25" x14ac:dyDescent="0.2">
      <c r="A1692" s="209"/>
      <c r="B1692" s="212"/>
      <c r="C1692" s="211"/>
      <c r="D1692" s="212"/>
      <c r="E1692" s="213"/>
      <c r="F1692" s="214"/>
      <c r="G1692" s="215"/>
    </row>
    <row r="1693" spans="1:7" s="1088" customFormat="1" ht="15" x14ac:dyDescent="0.25">
      <c r="A1693" s="1071" t="s">
        <v>116</v>
      </c>
      <c r="B1693" s="1072"/>
      <c r="C1693" s="236" t="s">
        <v>131</v>
      </c>
      <c r="D1693" s="235" t="s">
        <v>132</v>
      </c>
      <c r="E1693" s="236" t="s">
        <v>133</v>
      </c>
      <c r="F1693" s="237" t="s">
        <v>126</v>
      </c>
      <c r="G1693" s="238" t="s">
        <v>134</v>
      </c>
    </row>
    <row r="1694" spans="1:7" s="1088" customFormat="1" ht="14.25" x14ac:dyDescent="0.2">
      <c r="A1694" s="209" t="s">
        <v>10</v>
      </c>
      <c r="B1694" s="259"/>
      <c r="C1694" s="260">
        <f>M2</f>
        <v>22981.8</v>
      </c>
      <c r="D1694" s="261">
        <f>N2</f>
        <v>1.76</v>
      </c>
      <c r="E1694" s="276">
        <f>C1694*D1694</f>
        <v>40447.968000000001</v>
      </c>
      <c r="F1694" s="222">
        <f>1/18</f>
        <v>5.5555555555555552E-2</v>
      </c>
      <c r="G1694" s="224">
        <f>F1694*E1694</f>
        <v>2247.1093333333333</v>
      </c>
    </row>
    <row r="1695" spans="1:7" s="1088" customFormat="1" ht="14.25" x14ac:dyDescent="0.2">
      <c r="A1695" s="209" t="s">
        <v>140</v>
      </c>
      <c r="B1695" s="259"/>
      <c r="C1695" s="260">
        <f>M3</f>
        <v>40000</v>
      </c>
      <c r="D1695" s="261">
        <f>N3</f>
        <v>1.76</v>
      </c>
      <c r="E1695" s="276">
        <f>C1695*D1695</f>
        <v>70400</v>
      </c>
      <c r="F1695" s="222">
        <f>1/18</f>
        <v>5.5555555555555552E-2</v>
      </c>
      <c r="G1695" s="224">
        <f>F1695*E1695</f>
        <v>3911.1111111111109</v>
      </c>
    </row>
    <row r="1696" spans="1:7" s="1088" customFormat="1" ht="14.25" x14ac:dyDescent="0.2">
      <c r="A1696" s="209"/>
      <c r="B1696" s="245"/>
      <c r="C1696" s="265"/>
      <c r="D1696" s="246"/>
      <c r="E1696" s="265"/>
      <c r="F1696" s="266"/>
      <c r="G1696" s="267"/>
    </row>
    <row r="1697" spans="1:8" s="1088" customFormat="1" ht="14.25" x14ac:dyDescent="0.2">
      <c r="A1697" s="249"/>
      <c r="B1697" s="250"/>
      <c r="C1697" s="252"/>
      <c r="D1697" s="251"/>
      <c r="E1697" s="252"/>
      <c r="F1697" s="254"/>
      <c r="G1697" s="268"/>
    </row>
    <row r="1698" spans="1:8" s="1088" customFormat="1" ht="15" x14ac:dyDescent="0.25">
      <c r="A1698" s="209"/>
      <c r="B1698" s="212"/>
      <c r="C1698" s="211"/>
      <c r="D1698" s="212"/>
      <c r="E1698" s="269"/>
      <c r="F1698" s="269" t="s">
        <v>121</v>
      </c>
      <c r="G1698" s="270">
        <f>+SUM(G1694:G1697)</f>
        <v>6158.2204444444442</v>
      </c>
    </row>
    <row r="1699" spans="1:8" s="1088" customFormat="1" ht="15" x14ac:dyDescent="0.25">
      <c r="A1699" s="209"/>
      <c r="B1699" s="212"/>
      <c r="C1699" s="211"/>
      <c r="D1699" s="212"/>
      <c r="E1699" s="257"/>
      <c r="F1699" s="257"/>
      <c r="G1699" s="271"/>
    </row>
    <row r="1700" spans="1:8" s="1088" customFormat="1" ht="15" x14ac:dyDescent="0.25">
      <c r="A1700" s="216" t="s">
        <v>135</v>
      </c>
      <c r="B1700" s="212"/>
      <c r="C1700" s="211"/>
      <c r="D1700" s="212"/>
      <c r="E1700" s="213"/>
      <c r="F1700" s="214"/>
      <c r="G1700" s="215"/>
    </row>
    <row r="1701" spans="1:8" s="1088" customFormat="1" ht="14.25" x14ac:dyDescent="0.2">
      <c r="A1701" s="209"/>
      <c r="B1701" s="212"/>
      <c r="C1701" s="211"/>
      <c r="D1701" s="212"/>
      <c r="E1701" s="213"/>
      <c r="F1701" s="214"/>
      <c r="G1701" s="215"/>
    </row>
    <row r="1702" spans="1:8" s="1088" customFormat="1" ht="15" x14ac:dyDescent="0.25">
      <c r="A1702" s="1071" t="s">
        <v>116</v>
      </c>
      <c r="B1702" s="1072"/>
      <c r="C1702" s="236" t="s">
        <v>117</v>
      </c>
      <c r="D1702" s="235" t="s">
        <v>136</v>
      </c>
      <c r="E1702" s="236" t="s">
        <v>124</v>
      </c>
      <c r="F1702" s="237" t="s">
        <v>126</v>
      </c>
      <c r="G1702" s="238" t="s">
        <v>134</v>
      </c>
    </row>
    <row r="1703" spans="1:8" s="1088" customFormat="1" ht="14.25" x14ac:dyDescent="0.2">
      <c r="A1703" s="209" t="s">
        <v>175</v>
      </c>
      <c r="B1703" s="286"/>
      <c r="C1703" s="287" t="s">
        <v>79</v>
      </c>
      <c r="D1703" s="261"/>
      <c r="E1703" s="276">
        <v>68000</v>
      </c>
      <c r="F1703" s="222">
        <f>1/18</f>
        <v>5.5555555555555552E-2</v>
      </c>
      <c r="G1703" s="224">
        <f>F1703*E1703</f>
        <v>3777.7777777777774</v>
      </c>
    </row>
    <row r="1704" spans="1:8" s="1088" customFormat="1" ht="14.25" x14ac:dyDescent="0.2">
      <c r="A1704" s="209"/>
      <c r="B1704" s="275"/>
      <c r="C1704" s="260"/>
      <c r="D1704" s="261"/>
      <c r="E1704" s="276"/>
      <c r="F1704" s="222"/>
      <c r="G1704" s="224"/>
    </row>
    <row r="1705" spans="1:8" s="1088" customFormat="1" ht="14.25" x14ac:dyDescent="0.2">
      <c r="A1705" s="209"/>
      <c r="B1705" s="259"/>
      <c r="C1705" s="260"/>
      <c r="D1705" s="261"/>
      <c r="E1705" s="276"/>
      <c r="F1705" s="222"/>
      <c r="G1705" s="224"/>
    </row>
    <row r="1706" spans="1:8" s="1088" customFormat="1" ht="14.25" x14ac:dyDescent="0.2">
      <c r="A1706" s="209"/>
      <c r="B1706" s="259"/>
      <c r="C1706" s="260"/>
      <c r="D1706" s="261"/>
      <c r="E1706" s="276"/>
      <c r="F1706" s="222"/>
      <c r="G1706" s="224"/>
    </row>
    <row r="1707" spans="1:8" s="1088" customFormat="1" ht="14.25" x14ac:dyDescent="0.2">
      <c r="A1707" s="209"/>
      <c r="B1707" s="245"/>
      <c r="C1707" s="265"/>
      <c r="D1707" s="246"/>
      <c r="E1707" s="265"/>
      <c r="F1707" s="266"/>
      <c r="G1707" s="267"/>
    </row>
    <row r="1708" spans="1:8" s="1088" customFormat="1" ht="14.25" x14ac:dyDescent="0.2">
      <c r="A1708" s="249"/>
      <c r="B1708" s="250"/>
      <c r="C1708" s="252"/>
      <c r="D1708" s="251"/>
      <c r="E1708" s="252"/>
      <c r="F1708" s="254"/>
      <c r="G1708" s="268"/>
    </row>
    <row r="1709" spans="1:8" s="1088" customFormat="1" ht="15" x14ac:dyDescent="0.25">
      <c r="A1709" s="209"/>
      <c r="B1709" s="212"/>
      <c r="C1709" s="211"/>
      <c r="D1709" s="212"/>
      <c r="E1709" s="269"/>
      <c r="F1709" s="269" t="s">
        <v>121</v>
      </c>
      <c r="G1709" s="270">
        <f>+SUM(G1703:G1708)</f>
        <v>3777.7777777777774</v>
      </c>
    </row>
    <row r="1710" spans="1:8" s="1088" customFormat="1" ht="14.25" x14ac:dyDescent="0.2">
      <c r="A1710" s="209"/>
      <c r="B1710" s="212"/>
      <c r="C1710" s="211"/>
      <c r="D1710" s="212"/>
      <c r="E1710" s="213"/>
      <c r="F1710" s="214"/>
      <c r="G1710" s="271"/>
    </row>
    <row r="1711" spans="1:8" s="1088" customFormat="1" ht="15" x14ac:dyDescent="0.25">
      <c r="A1711" s="277"/>
      <c r="B1711" s="278"/>
      <c r="C1711" s="278"/>
      <c r="D1711" s="278"/>
      <c r="E1711" s="279"/>
      <c r="F1711" s="280" t="s">
        <v>137</v>
      </c>
      <c r="G1711" s="283">
        <f>+ROUND(G1679+G1689+G1698+G1709,0)</f>
        <v>35244</v>
      </c>
    </row>
    <row r="1712" spans="1:8" s="1088" customFormat="1" ht="15" x14ac:dyDescent="0.25">
      <c r="A1712" s="209"/>
      <c r="B1712" s="212"/>
      <c r="C1712" s="212"/>
      <c r="D1712" s="212"/>
      <c r="E1712" s="211"/>
      <c r="F1712" s="257"/>
      <c r="G1712" s="257"/>
      <c r="H1712" s="257"/>
    </row>
    <row r="1713" spans="1:7" s="1088" customFormat="1" ht="15" x14ac:dyDescent="0.25">
      <c r="A1713" s="145" t="s">
        <v>160</v>
      </c>
      <c r="B1713" s="1262" t="s">
        <v>161</v>
      </c>
      <c r="C1713" s="1263"/>
      <c r="D1713" s="1263"/>
      <c r="E1713" s="1263"/>
      <c r="F1713" s="1264"/>
      <c r="G1713" s="146" t="s">
        <v>2</v>
      </c>
    </row>
    <row r="1714" spans="1:7" s="1088" customFormat="1" ht="15" x14ac:dyDescent="0.25">
      <c r="A1714" s="285">
        <f>'FORMATO PROPUESTA ECONÓMICA'!A57</f>
        <v>6.25</v>
      </c>
      <c r="B1714" s="1265" t="str">
        <f>'FORMATO PROPUESTA ECONÓMICA'!B57</f>
        <v>Portabrida PEAD PN10 d= 110mm</v>
      </c>
      <c r="C1714" s="1266"/>
      <c r="D1714" s="1266"/>
      <c r="E1714" s="1266"/>
      <c r="F1714" s="1267"/>
      <c r="G1714" s="187" t="str">
        <f>'FORMATO PROPUESTA ECONÓMICA'!C57</f>
        <v>und</v>
      </c>
    </row>
    <row r="1715" spans="1:7" s="1088" customFormat="1" ht="14.25" x14ac:dyDescent="0.2">
      <c r="A1715" s="209"/>
      <c r="B1715" s="210"/>
      <c r="C1715" s="211"/>
      <c r="D1715" s="212"/>
      <c r="E1715" s="213"/>
      <c r="F1715" s="214"/>
      <c r="G1715" s="215"/>
    </row>
    <row r="1716" spans="1:7" s="1088" customFormat="1" ht="15" x14ac:dyDescent="0.25">
      <c r="A1716" s="216" t="s">
        <v>115</v>
      </c>
      <c r="B1716" s="212"/>
      <c r="C1716" s="211"/>
      <c r="D1716" s="212"/>
      <c r="E1716" s="213"/>
      <c r="F1716" s="214"/>
      <c r="G1716" s="215"/>
    </row>
    <row r="1717" spans="1:7" s="1088" customFormat="1" ht="14.25" x14ac:dyDescent="0.2">
      <c r="A1717" s="209"/>
      <c r="B1717" s="212"/>
      <c r="C1717" s="211"/>
      <c r="D1717" s="212"/>
      <c r="E1717" s="213"/>
      <c r="F1717" s="214"/>
      <c r="G1717" s="215"/>
    </row>
    <row r="1718" spans="1:7" s="1088" customFormat="1" ht="15" x14ac:dyDescent="0.25">
      <c r="A1718" s="1075" t="s">
        <v>116</v>
      </c>
      <c r="B1718" s="1076"/>
      <c r="C1718" s="217" t="s">
        <v>117</v>
      </c>
      <c r="D1718" s="1075" t="s">
        <v>118</v>
      </c>
      <c r="E1718" s="218" t="s">
        <v>39</v>
      </c>
      <c r="F1718" s="1075" t="s">
        <v>119</v>
      </c>
      <c r="G1718" s="219" t="s">
        <v>120</v>
      </c>
    </row>
    <row r="1719" spans="1:7" s="1088" customFormat="1" ht="15" customHeight="1" x14ac:dyDescent="0.2">
      <c r="A1719" s="209"/>
      <c r="B1719" s="286"/>
      <c r="C1719" s="220"/>
      <c r="D1719" s="261"/>
      <c r="E1719" s="276"/>
      <c r="F1719" s="222"/>
      <c r="G1719" s="224"/>
    </row>
    <row r="1720" spans="1:7" s="1088" customFormat="1" ht="14.25" x14ac:dyDescent="0.2">
      <c r="A1720" s="1060"/>
      <c r="B1720" s="1068"/>
      <c r="C1720" s="225"/>
      <c r="D1720" s="221"/>
      <c r="E1720" s="226"/>
      <c r="F1720" s="227"/>
      <c r="G1720" s="228">
        <f>D1720*E1720</f>
        <v>0</v>
      </c>
    </row>
    <row r="1721" spans="1:7" s="1088" customFormat="1" ht="14.25" x14ac:dyDescent="0.2">
      <c r="A1721" s="1060"/>
      <c r="B1721" s="1068"/>
      <c r="C1721" s="229"/>
      <c r="D1721" s="221"/>
      <c r="E1721" s="226"/>
      <c r="F1721" s="227"/>
      <c r="G1721" s="228">
        <f>D1721*E1721</f>
        <v>0</v>
      </c>
    </row>
    <row r="1722" spans="1:7" s="1088" customFormat="1" ht="14.25" x14ac:dyDescent="0.2">
      <c r="A1722" s="1060"/>
      <c r="B1722" s="1068"/>
      <c r="C1722" s="225"/>
      <c r="D1722" s="221"/>
      <c r="E1722" s="226"/>
      <c r="F1722" s="227"/>
      <c r="G1722" s="228">
        <f>D1722*E1722</f>
        <v>0</v>
      </c>
    </row>
    <row r="1723" spans="1:7" s="1088" customFormat="1" ht="14.25" x14ac:dyDescent="0.2">
      <c r="A1723" s="1069"/>
      <c r="B1723" s="1070"/>
      <c r="C1723" s="230"/>
      <c r="D1723" s="231"/>
      <c r="E1723" s="232"/>
      <c r="F1723" s="233"/>
      <c r="G1723" s="228">
        <f>D1723*E1723</f>
        <v>0</v>
      </c>
    </row>
    <row r="1724" spans="1:7" s="1088" customFormat="1" ht="15" x14ac:dyDescent="0.25">
      <c r="A1724" s="1073"/>
      <c r="B1724" s="210"/>
      <c r="C1724" s="211"/>
      <c r="D1724" s="212"/>
      <c r="E1724" s="212"/>
      <c r="F1724" s="234" t="s">
        <v>121</v>
      </c>
      <c r="G1724" s="231">
        <f>+SUM(G1719:G1723)</f>
        <v>0</v>
      </c>
    </row>
    <row r="1725" spans="1:7" s="1088" customFormat="1" ht="14.25" x14ac:dyDescent="0.2">
      <c r="A1725" s="209"/>
      <c r="B1725" s="212"/>
      <c r="C1725" s="211" t="s">
        <v>123</v>
      </c>
      <c r="D1725" s="212"/>
      <c r="E1725" s="213"/>
      <c r="F1725" s="214"/>
      <c r="G1725" s="215"/>
    </row>
    <row r="1726" spans="1:7" s="1088" customFormat="1" ht="15" x14ac:dyDescent="0.25">
      <c r="A1726" s="216" t="s">
        <v>122</v>
      </c>
      <c r="B1726" s="212"/>
      <c r="C1726" s="211" t="s">
        <v>123</v>
      </c>
      <c r="D1726" s="212"/>
      <c r="E1726" s="213"/>
      <c r="F1726" s="214"/>
      <c r="G1726" s="215"/>
    </row>
    <row r="1727" spans="1:7" s="1088" customFormat="1" ht="14.25" x14ac:dyDescent="0.2">
      <c r="A1727" s="209"/>
      <c r="B1727" s="212"/>
      <c r="C1727" s="211"/>
      <c r="D1727" s="212"/>
      <c r="E1727" s="213"/>
      <c r="F1727" s="214"/>
      <c r="G1727" s="215"/>
    </row>
    <row r="1728" spans="1:7" s="1088" customFormat="1" ht="15" x14ac:dyDescent="0.25">
      <c r="A1728" s="1071" t="s">
        <v>116</v>
      </c>
      <c r="B1728" s="1072"/>
      <c r="C1728" s="235" t="s">
        <v>117</v>
      </c>
      <c r="D1728" s="236" t="s">
        <v>124</v>
      </c>
      <c r="E1728" s="236" t="s">
        <v>125</v>
      </c>
      <c r="F1728" s="237" t="s">
        <v>126</v>
      </c>
      <c r="G1728" s="238" t="s">
        <v>120</v>
      </c>
    </row>
    <row r="1729" spans="1:7" s="1088" customFormat="1" ht="28.5" x14ac:dyDescent="0.2">
      <c r="A1729" s="1066" t="s">
        <v>127</v>
      </c>
      <c r="B1729" s="1067"/>
      <c r="C1729" s="239" t="s">
        <v>128</v>
      </c>
      <c r="D1729" s="240"/>
      <c r="E1729" s="241"/>
      <c r="F1729" s="222"/>
      <c r="G1729" s="242">
        <f>G1743*0.05</f>
        <v>307.91102222222224</v>
      </c>
    </row>
    <row r="1730" spans="1:7" s="1088" customFormat="1" ht="14.25" x14ac:dyDescent="0.2">
      <c r="A1730" s="1073" t="s">
        <v>174</v>
      </c>
      <c r="B1730" s="1074"/>
      <c r="C1730" s="243" t="s">
        <v>176</v>
      </c>
      <c r="D1730" s="221">
        <v>450000</v>
      </c>
      <c r="E1730" s="244"/>
      <c r="F1730" s="222">
        <v>18</v>
      </c>
      <c r="G1730" s="224">
        <f>D1730/F1730</f>
        <v>25000</v>
      </c>
    </row>
    <row r="1731" spans="1:7" s="1088" customFormat="1" ht="14.25" x14ac:dyDescent="0.2">
      <c r="A1731" s="1073"/>
      <c r="B1731" s="1074"/>
      <c r="C1731" s="243"/>
      <c r="D1731" s="221"/>
      <c r="E1731" s="244"/>
      <c r="F1731" s="222"/>
      <c r="G1731" s="224"/>
    </row>
    <row r="1732" spans="1:7" s="1088" customFormat="1" ht="14.25" x14ac:dyDescent="0.2">
      <c r="A1732" s="209"/>
      <c r="B1732" s="245"/>
      <c r="C1732" s="246"/>
      <c r="D1732" s="221"/>
      <c r="E1732" s="247"/>
      <c r="F1732" s="222"/>
      <c r="G1732" s="248"/>
    </row>
    <row r="1733" spans="1:7" s="1088" customFormat="1" ht="14.25" x14ac:dyDescent="0.2">
      <c r="A1733" s="249"/>
      <c r="B1733" s="250"/>
      <c r="C1733" s="251"/>
      <c r="D1733" s="252"/>
      <c r="E1733" s="253"/>
      <c r="F1733" s="254"/>
      <c r="G1733" s="255"/>
    </row>
    <row r="1734" spans="1:7" s="1088" customFormat="1" ht="15" x14ac:dyDescent="0.25">
      <c r="A1734" s="209"/>
      <c r="B1734" s="214"/>
      <c r="C1734" s="256"/>
      <c r="D1734" s="214"/>
      <c r="E1734" s="212"/>
      <c r="F1734" s="257" t="s">
        <v>121</v>
      </c>
      <c r="G1734" s="258">
        <f>+SUM(G1729:G1733)</f>
        <v>25307.911022222223</v>
      </c>
    </row>
    <row r="1735" spans="1:7" s="1088" customFormat="1" ht="14.25" x14ac:dyDescent="0.2">
      <c r="A1735" s="209"/>
      <c r="B1735" s="212"/>
      <c r="C1735" s="211"/>
      <c r="D1735" s="212"/>
      <c r="E1735" s="213"/>
      <c r="F1735" s="212"/>
      <c r="G1735" s="215"/>
    </row>
    <row r="1736" spans="1:7" s="1088" customFormat="1" ht="15" x14ac:dyDescent="0.25">
      <c r="A1736" s="216" t="s">
        <v>130</v>
      </c>
      <c r="B1736" s="212"/>
      <c r="C1736" s="211"/>
      <c r="D1736" s="212"/>
      <c r="E1736" s="213"/>
      <c r="F1736" s="214"/>
      <c r="G1736" s="215"/>
    </row>
    <row r="1737" spans="1:7" s="1088" customFormat="1" ht="14.25" x14ac:dyDescent="0.2">
      <c r="A1737" s="209"/>
      <c r="B1737" s="212"/>
      <c r="C1737" s="211"/>
      <c r="D1737" s="212"/>
      <c r="E1737" s="213"/>
      <c r="F1737" s="214"/>
      <c r="G1737" s="215"/>
    </row>
    <row r="1738" spans="1:7" s="1088" customFormat="1" ht="15" x14ac:dyDescent="0.25">
      <c r="A1738" s="1071" t="s">
        <v>116</v>
      </c>
      <c r="B1738" s="1072"/>
      <c r="C1738" s="236" t="s">
        <v>131</v>
      </c>
      <c r="D1738" s="235" t="s">
        <v>132</v>
      </c>
      <c r="E1738" s="236" t="s">
        <v>133</v>
      </c>
      <c r="F1738" s="237" t="s">
        <v>126</v>
      </c>
      <c r="G1738" s="238" t="s">
        <v>134</v>
      </c>
    </row>
    <row r="1739" spans="1:7" s="1088" customFormat="1" ht="14.25" x14ac:dyDescent="0.2">
      <c r="A1739" s="209" t="s">
        <v>10</v>
      </c>
      <c r="B1739" s="259"/>
      <c r="C1739" s="260">
        <f>M2</f>
        <v>22981.8</v>
      </c>
      <c r="D1739" s="261">
        <f>N2</f>
        <v>1.76</v>
      </c>
      <c r="E1739" s="276">
        <f>C1739*D1739</f>
        <v>40447.968000000001</v>
      </c>
      <c r="F1739" s="222">
        <f>1/18</f>
        <v>5.5555555555555552E-2</v>
      </c>
      <c r="G1739" s="224">
        <f>F1739*E1739</f>
        <v>2247.1093333333333</v>
      </c>
    </row>
    <row r="1740" spans="1:7" s="1088" customFormat="1" ht="14.25" x14ac:dyDescent="0.2">
      <c r="A1740" s="209" t="s">
        <v>140</v>
      </c>
      <c r="B1740" s="259"/>
      <c r="C1740" s="260">
        <f>M3</f>
        <v>40000</v>
      </c>
      <c r="D1740" s="261">
        <f>N3</f>
        <v>1.76</v>
      </c>
      <c r="E1740" s="276">
        <f>C1740*D1740</f>
        <v>70400</v>
      </c>
      <c r="F1740" s="222">
        <f>1/18</f>
        <v>5.5555555555555552E-2</v>
      </c>
      <c r="G1740" s="224">
        <f>F1740*E1740</f>
        <v>3911.1111111111109</v>
      </c>
    </row>
    <row r="1741" spans="1:7" s="1088" customFormat="1" ht="14.25" x14ac:dyDescent="0.2">
      <c r="A1741" s="209"/>
      <c r="B1741" s="245"/>
      <c r="C1741" s="265"/>
      <c r="D1741" s="246"/>
      <c r="E1741" s="265"/>
      <c r="F1741" s="266"/>
      <c r="G1741" s="267"/>
    </row>
    <row r="1742" spans="1:7" s="1088" customFormat="1" ht="14.25" x14ac:dyDescent="0.2">
      <c r="A1742" s="249"/>
      <c r="B1742" s="250"/>
      <c r="C1742" s="252"/>
      <c r="D1742" s="251"/>
      <c r="E1742" s="252"/>
      <c r="F1742" s="254"/>
      <c r="G1742" s="268"/>
    </row>
    <row r="1743" spans="1:7" s="1088" customFormat="1" ht="15" x14ac:dyDescent="0.25">
      <c r="A1743" s="209"/>
      <c r="B1743" s="212"/>
      <c r="C1743" s="211"/>
      <c r="D1743" s="212"/>
      <c r="E1743" s="269"/>
      <c r="F1743" s="269" t="s">
        <v>121</v>
      </c>
      <c r="G1743" s="270">
        <f>+SUM(G1739:G1742)</f>
        <v>6158.2204444444442</v>
      </c>
    </row>
    <row r="1744" spans="1:7" s="1088" customFormat="1" ht="15" x14ac:dyDescent="0.25">
      <c r="A1744" s="209"/>
      <c r="B1744" s="212"/>
      <c r="C1744" s="211"/>
      <c r="D1744" s="212"/>
      <c r="E1744" s="257"/>
      <c r="F1744" s="257"/>
      <c r="G1744" s="271"/>
    </row>
    <row r="1745" spans="1:8" s="1088" customFormat="1" ht="15" x14ac:dyDescent="0.25">
      <c r="A1745" s="216" t="s">
        <v>135</v>
      </c>
      <c r="B1745" s="212"/>
      <c r="C1745" s="211"/>
      <c r="D1745" s="212"/>
      <c r="E1745" s="213"/>
      <c r="F1745" s="214"/>
      <c r="G1745" s="215"/>
    </row>
    <row r="1746" spans="1:8" s="1088" customFormat="1" ht="14.25" x14ac:dyDescent="0.2">
      <c r="A1746" s="209"/>
      <c r="B1746" s="212"/>
      <c r="C1746" s="211"/>
      <c r="D1746" s="212"/>
      <c r="E1746" s="213"/>
      <c r="F1746" s="214"/>
      <c r="G1746" s="215"/>
    </row>
    <row r="1747" spans="1:8" s="1088" customFormat="1" ht="15" x14ac:dyDescent="0.25">
      <c r="A1747" s="1071" t="s">
        <v>116</v>
      </c>
      <c r="B1747" s="1072"/>
      <c r="C1747" s="236" t="s">
        <v>117</v>
      </c>
      <c r="D1747" s="235" t="s">
        <v>136</v>
      </c>
      <c r="E1747" s="236" t="s">
        <v>124</v>
      </c>
      <c r="F1747" s="237" t="s">
        <v>126</v>
      </c>
      <c r="G1747" s="238" t="s">
        <v>134</v>
      </c>
    </row>
    <row r="1748" spans="1:8" s="1088" customFormat="1" ht="14.25" x14ac:dyDescent="0.2">
      <c r="A1748" s="209" t="s">
        <v>175</v>
      </c>
      <c r="B1748" s="286"/>
      <c r="C1748" s="287" t="s">
        <v>79</v>
      </c>
      <c r="D1748" s="261"/>
      <c r="E1748" s="276">
        <v>68000</v>
      </c>
      <c r="F1748" s="222">
        <f>1/18</f>
        <v>5.5555555555555552E-2</v>
      </c>
      <c r="G1748" s="224">
        <f>F1748*E1748</f>
        <v>3777.7777777777774</v>
      </c>
    </row>
    <row r="1749" spans="1:8" s="1088" customFormat="1" ht="14.25" x14ac:dyDescent="0.2">
      <c r="A1749" s="209"/>
      <c r="B1749" s="275"/>
      <c r="C1749" s="260"/>
      <c r="D1749" s="261"/>
      <c r="E1749" s="276"/>
      <c r="F1749" s="222"/>
      <c r="G1749" s="224"/>
    </row>
    <row r="1750" spans="1:8" s="1088" customFormat="1" ht="14.25" x14ac:dyDescent="0.2">
      <c r="A1750" s="209"/>
      <c r="B1750" s="259"/>
      <c r="C1750" s="260"/>
      <c r="D1750" s="261"/>
      <c r="E1750" s="276"/>
      <c r="F1750" s="222"/>
      <c r="G1750" s="224"/>
    </row>
    <row r="1751" spans="1:8" s="1088" customFormat="1" ht="14.25" x14ac:dyDescent="0.2">
      <c r="A1751" s="209"/>
      <c r="B1751" s="259"/>
      <c r="C1751" s="260"/>
      <c r="D1751" s="261"/>
      <c r="E1751" s="276"/>
      <c r="F1751" s="222"/>
      <c r="G1751" s="224"/>
    </row>
    <row r="1752" spans="1:8" s="1088" customFormat="1" ht="14.25" x14ac:dyDescent="0.2">
      <c r="A1752" s="209"/>
      <c r="B1752" s="245"/>
      <c r="C1752" s="265"/>
      <c r="D1752" s="246"/>
      <c r="E1752" s="265"/>
      <c r="F1752" s="266"/>
      <c r="G1752" s="267"/>
    </row>
    <row r="1753" spans="1:8" s="1088" customFormat="1" ht="14.25" x14ac:dyDescent="0.2">
      <c r="A1753" s="249"/>
      <c r="B1753" s="250"/>
      <c r="C1753" s="252"/>
      <c r="D1753" s="251"/>
      <c r="E1753" s="252"/>
      <c r="F1753" s="254"/>
      <c r="G1753" s="268"/>
    </row>
    <row r="1754" spans="1:8" s="1088" customFormat="1" ht="15" x14ac:dyDescent="0.25">
      <c r="A1754" s="209"/>
      <c r="B1754" s="212"/>
      <c r="C1754" s="211"/>
      <c r="D1754" s="212"/>
      <c r="E1754" s="269"/>
      <c r="F1754" s="269" t="s">
        <v>121</v>
      </c>
      <c r="G1754" s="270">
        <f>+SUM(G1748:G1753)</f>
        <v>3777.7777777777774</v>
      </c>
    </row>
    <row r="1755" spans="1:8" s="1088" customFormat="1" ht="14.25" x14ac:dyDescent="0.2">
      <c r="A1755" s="209"/>
      <c r="B1755" s="212"/>
      <c r="C1755" s="211"/>
      <c r="D1755" s="212"/>
      <c r="E1755" s="213"/>
      <c r="F1755" s="214"/>
      <c r="G1755" s="271"/>
    </row>
    <row r="1756" spans="1:8" s="1088" customFormat="1" ht="15" x14ac:dyDescent="0.25">
      <c r="A1756" s="277"/>
      <c r="B1756" s="278"/>
      <c r="C1756" s="278"/>
      <c r="D1756" s="278"/>
      <c r="E1756" s="279"/>
      <c r="F1756" s="280" t="s">
        <v>137</v>
      </c>
      <c r="G1756" s="283">
        <f>+ROUND(G1724+G1734+G1743+G1754,0)</f>
        <v>35244</v>
      </c>
    </row>
    <row r="1757" spans="1:8" s="1088" customFormat="1" ht="15" x14ac:dyDescent="0.25">
      <c r="A1757" s="209"/>
      <c r="B1757" s="212"/>
      <c r="C1757" s="212"/>
      <c r="D1757" s="212"/>
      <c r="E1757" s="211"/>
      <c r="F1757" s="257"/>
      <c r="G1757" s="257"/>
      <c r="H1757" s="257"/>
    </row>
    <row r="1758" spans="1:8" s="1088" customFormat="1" ht="15" x14ac:dyDescent="0.25">
      <c r="A1758" s="145" t="s">
        <v>160</v>
      </c>
      <c r="B1758" s="1262" t="s">
        <v>161</v>
      </c>
      <c r="C1758" s="1263"/>
      <c r="D1758" s="1263"/>
      <c r="E1758" s="1263"/>
      <c r="F1758" s="1264"/>
      <c r="G1758" s="146" t="s">
        <v>2</v>
      </c>
    </row>
    <row r="1759" spans="1:8" s="1088" customFormat="1" ht="15" x14ac:dyDescent="0.25">
      <c r="A1759" s="285">
        <f>'FORMATO PROPUESTA ECONÓMICA'!A58</f>
        <v>6.26</v>
      </c>
      <c r="B1759" s="1265" t="str">
        <f>'FORMATO PROPUESTA ECONÓMICA'!B58</f>
        <v>Portabrida PEAD PN10 d= 160mm</v>
      </c>
      <c r="C1759" s="1266"/>
      <c r="D1759" s="1266"/>
      <c r="E1759" s="1266"/>
      <c r="F1759" s="1267"/>
      <c r="G1759" s="187" t="str">
        <f>'FORMATO PROPUESTA ECONÓMICA'!C58</f>
        <v>und</v>
      </c>
    </row>
    <row r="1760" spans="1:8" s="1088" customFormat="1" ht="14.25" x14ac:dyDescent="0.2">
      <c r="A1760" s="209"/>
      <c r="B1760" s="210"/>
      <c r="C1760" s="211"/>
      <c r="D1760" s="212"/>
      <c r="E1760" s="213"/>
      <c r="F1760" s="214"/>
      <c r="G1760" s="215"/>
    </row>
    <row r="1761" spans="1:7" s="1088" customFormat="1" ht="15" x14ac:dyDescent="0.25">
      <c r="A1761" s="216" t="s">
        <v>115</v>
      </c>
      <c r="B1761" s="212"/>
      <c r="C1761" s="211"/>
      <c r="D1761" s="212"/>
      <c r="E1761" s="213"/>
      <c r="F1761" s="214"/>
      <c r="G1761" s="215"/>
    </row>
    <row r="1762" spans="1:7" s="1088" customFormat="1" ht="14.25" x14ac:dyDescent="0.2">
      <c r="A1762" s="209"/>
      <c r="B1762" s="212"/>
      <c r="C1762" s="211"/>
      <c r="D1762" s="212"/>
      <c r="E1762" s="213"/>
      <c r="F1762" s="214"/>
      <c r="G1762" s="215"/>
    </row>
    <row r="1763" spans="1:7" s="1088" customFormat="1" ht="15" x14ac:dyDescent="0.25">
      <c r="A1763" s="1075" t="s">
        <v>116</v>
      </c>
      <c r="B1763" s="1076"/>
      <c r="C1763" s="217" t="s">
        <v>117</v>
      </c>
      <c r="D1763" s="1075" t="s">
        <v>118</v>
      </c>
      <c r="E1763" s="218" t="s">
        <v>39</v>
      </c>
      <c r="F1763" s="1075" t="s">
        <v>119</v>
      </c>
      <c r="G1763" s="219" t="s">
        <v>120</v>
      </c>
    </row>
    <row r="1764" spans="1:7" s="1088" customFormat="1" ht="15" customHeight="1" x14ac:dyDescent="0.2">
      <c r="A1764" s="209"/>
      <c r="B1764" s="286"/>
      <c r="C1764" s="220"/>
      <c r="D1764" s="261"/>
      <c r="E1764" s="276"/>
      <c r="F1764" s="222"/>
      <c r="G1764" s="224"/>
    </row>
    <row r="1765" spans="1:7" s="1088" customFormat="1" ht="14.25" x14ac:dyDescent="0.2">
      <c r="A1765" s="1254" t="str">
        <f>B1759</f>
        <v>Portabrida PEAD PN10 d= 160mm</v>
      </c>
      <c r="B1765" s="1255"/>
      <c r="C1765" s="225" t="s">
        <v>79</v>
      </c>
      <c r="D1765" s="68"/>
      <c r="E1765" s="226">
        <v>1</v>
      </c>
      <c r="F1765" s="227"/>
      <c r="G1765" s="228">
        <f>D1765*E1765</f>
        <v>0</v>
      </c>
    </row>
    <row r="1766" spans="1:7" s="1088" customFormat="1" ht="14.25" x14ac:dyDescent="0.2">
      <c r="A1766" s="1060"/>
      <c r="B1766" s="1068"/>
      <c r="C1766" s="229"/>
      <c r="D1766" s="288"/>
      <c r="E1766" s="226"/>
      <c r="F1766" s="227"/>
      <c r="G1766" s="228">
        <f>D1766*E1766</f>
        <v>0</v>
      </c>
    </row>
    <row r="1767" spans="1:7" s="1088" customFormat="1" ht="14.25" x14ac:dyDescent="0.2">
      <c r="A1767" s="1060"/>
      <c r="B1767" s="1068"/>
      <c r="C1767" s="225"/>
      <c r="D1767" s="221"/>
      <c r="E1767" s="226"/>
      <c r="F1767" s="227"/>
      <c r="G1767" s="228">
        <f>D1767*E1767</f>
        <v>0</v>
      </c>
    </row>
    <row r="1768" spans="1:7" s="1088" customFormat="1" ht="14.25" x14ac:dyDescent="0.2">
      <c r="A1768" s="1069"/>
      <c r="B1768" s="1070"/>
      <c r="C1768" s="230"/>
      <c r="D1768" s="231"/>
      <c r="E1768" s="232"/>
      <c r="F1768" s="233"/>
      <c r="G1768" s="228">
        <f>D1768*E1768</f>
        <v>0</v>
      </c>
    </row>
    <row r="1769" spans="1:7" s="1088" customFormat="1" ht="15" x14ac:dyDescent="0.25">
      <c r="A1769" s="1073"/>
      <c r="B1769" s="210"/>
      <c r="C1769" s="211"/>
      <c r="D1769" s="212"/>
      <c r="E1769" s="212"/>
      <c r="F1769" s="234" t="s">
        <v>121</v>
      </c>
      <c r="G1769" s="231">
        <f>+SUM(G1764:G1768)</f>
        <v>0</v>
      </c>
    </row>
    <row r="1770" spans="1:7" s="1088" customFormat="1" ht="14.25" x14ac:dyDescent="0.2">
      <c r="A1770" s="209"/>
      <c r="B1770" s="212"/>
      <c r="C1770" s="211" t="s">
        <v>123</v>
      </c>
      <c r="D1770" s="212"/>
      <c r="E1770" s="213"/>
      <c r="F1770" s="214"/>
      <c r="G1770" s="215"/>
    </row>
    <row r="1771" spans="1:7" s="1088" customFormat="1" ht="15" x14ac:dyDescent="0.25">
      <c r="A1771" s="216" t="s">
        <v>122</v>
      </c>
      <c r="B1771" s="212"/>
      <c r="C1771" s="211" t="s">
        <v>123</v>
      </c>
      <c r="D1771" s="212"/>
      <c r="E1771" s="213"/>
      <c r="F1771" s="214"/>
      <c r="G1771" s="215"/>
    </row>
    <row r="1772" spans="1:7" s="1088" customFormat="1" ht="14.25" x14ac:dyDescent="0.2">
      <c r="A1772" s="209"/>
      <c r="B1772" s="212"/>
      <c r="C1772" s="211"/>
      <c r="D1772" s="212"/>
      <c r="E1772" s="213"/>
      <c r="F1772" s="214"/>
      <c r="G1772" s="215"/>
    </row>
    <row r="1773" spans="1:7" s="1088" customFormat="1" ht="15" x14ac:dyDescent="0.25">
      <c r="A1773" s="1071" t="s">
        <v>116</v>
      </c>
      <c r="B1773" s="1072"/>
      <c r="C1773" s="235" t="s">
        <v>117</v>
      </c>
      <c r="D1773" s="236" t="s">
        <v>124</v>
      </c>
      <c r="E1773" s="236" t="s">
        <v>125</v>
      </c>
      <c r="F1773" s="237" t="s">
        <v>126</v>
      </c>
      <c r="G1773" s="238" t="s">
        <v>120</v>
      </c>
    </row>
    <row r="1774" spans="1:7" s="1088" customFormat="1" ht="28.5" x14ac:dyDescent="0.2">
      <c r="A1774" s="1066" t="s">
        <v>127</v>
      </c>
      <c r="B1774" s="1067"/>
      <c r="C1774" s="239" t="s">
        <v>128</v>
      </c>
      <c r="D1774" s="240"/>
      <c r="E1774" s="241"/>
      <c r="F1774" s="222"/>
      <c r="G1774" s="242">
        <f>G1788*0.05</f>
        <v>277.11992000000004</v>
      </c>
    </row>
    <row r="1775" spans="1:7" s="1088" customFormat="1" ht="14.25" x14ac:dyDescent="0.2">
      <c r="A1775" s="1073" t="s">
        <v>174</v>
      </c>
      <c r="B1775" s="1074"/>
      <c r="C1775" s="243" t="s">
        <v>176</v>
      </c>
      <c r="D1775" s="221">
        <v>450000</v>
      </c>
      <c r="E1775" s="244"/>
      <c r="F1775" s="222">
        <v>0.1</v>
      </c>
      <c r="G1775" s="224">
        <f>D1775*F1775</f>
        <v>45000</v>
      </c>
    </row>
    <row r="1776" spans="1:7" s="1088" customFormat="1" ht="14.25" x14ac:dyDescent="0.2">
      <c r="A1776" s="1073"/>
      <c r="B1776" s="1074"/>
      <c r="C1776" s="243"/>
      <c r="D1776" s="221"/>
      <c r="E1776" s="244"/>
      <c r="F1776" s="222"/>
      <c r="G1776" s="224"/>
    </row>
    <row r="1777" spans="1:7" s="1088" customFormat="1" ht="14.25" x14ac:dyDescent="0.2">
      <c r="A1777" s="209"/>
      <c r="B1777" s="245"/>
      <c r="C1777" s="246"/>
      <c r="D1777" s="221"/>
      <c r="E1777" s="247"/>
      <c r="F1777" s="222"/>
      <c r="G1777" s="248"/>
    </row>
    <row r="1778" spans="1:7" s="1088" customFormat="1" ht="14.25" x14ac:dyDescent="0.2">
      <c r="A1778" s="249"/>
      <c r="B1778" s="250"/>
      <c r="C1778" s="251"/>
      <c r="D1778" s="252"/>
      <c r="E1778" s="253"/>
      <c r="F1778" s="254"/>
      <c r="G1778" s="255"/>
    </row>
    <row r="1779" spans="1:7" s="1088" customFormat="1" ht="15" x14ac:dyDescent="0.25">
      <c r="A1779" s="209"/>
      <c r="B1779" s="214"/>
      <c r="C1779" s="256"/>
      <c r="D1779" s="214"/>
      <c r="E1779" s="212"/>
      <c r="F1779" s="257" t="s">
        <v>121</v>
      </c>
      <c r="G1779" s="258">
        <f>+SUM(G1774:G1778)</f>
        <v>45277.119919999997</v>
      </c>
    </row>
    <row r="1780" spans="1:7" s="1088" customFormat="1" ht="14.25" x14ac:dyDescent="0.2">
      <c r="A1780" s="209"/>
      <c r="B1780" s="212"/>
      <c r="C1780" s="211"/>
      <c r="D1780" s="212"/>
      <c r="E1780" s="213"/>
      <c r="F1780" s="212"/>
      <c r="G1780" s="215"/>
    </row>
    <row r="1781" spans="1:7" s="1088" customFormat="1" ht="15" x14ac:dyDescent="0.25">
      <c r="A1781" s="216" t="s">
        <v>130</v>
      </c>
      <c r="B1781" s="212"/>
      <c r="C1781" s="211"/>
      <c r="D1781" s="212"/>
      <c r="E1781" s="213"/>
      <c r="F1781" s="214"/>
      <c r="G1781" s="215"/>
    </row>
    <row r="1782" spans="1:7" s="1088" customFormat="1" ht="14.25" x14ac:dyDescent="0.2">
      <c r="A1782" s="209"/>
      <c r="B1782" s="212"/>
      <c r="C1782" s="211"/>
      <c r="D1782" s="212"/>
      <c r="E1782" s="213"/>
      <c r="F1782" s="214"/>
      <c r="G1782" s="215"/>
    </row>
    <row r="1783" spans="1:7" s="1088" customFormat="1" ht="15" x14ac:dyDescent="0.25">
      <c r="A1783" s="1071" t="s">
        <v>116</v>
      </c>
      <c r="B1783" s="1072"/>
      <c r="C1783" s="236" t="s">
        <v>131</v>
      </c>
      <c r="D1783" s="235" t="s">
        <v>132</v>
      </c>
      <c r="E1783" s="236" t="s">
        <v>133</v>
      </c>
      <c r="F1783" s="237" t="s">
        <v>126</v>
      </c>
      <c r="G1783" s="238" t="s">
        <v>134</v>
      </c>
    </row>
    <row r="1784" spans="1:7" s="1088" customFormat="1" ht="14.25" x14ac:dyDescent="0.2">
      <c r="A1784" s="209" t="s">
        <v>10</v>
      </c>
      <c r="B1784" s="259"/>
      <c r="C1784" s="260">
        <f>M2</f>
        <v>22981.8</v>
      </c>
      <c r="D1784" s="261">
        <f>N2</f>
        <v>1.76</v>
      </c>
      <c r="E1784" s="276">
        <f>C1784*D1784</f>
        <v>40447.968000000001</v>
      </c>
      <c r="F1784" s="222">
        <v>0.05</v>
      </c>
      <c r="G1784" s="224">
        <f>F1784*E1784</f>
        <v>2022.3984</v>
      </c>
    </row>
    <row r="1785" spans="1:7" s="1088" customFormat="1" ht="14.25" x14ac:dyDescent="0.2">
      <c r="A1785" s="209" t="s">
        <v>140</v>
      </c>
      <c r="B1785" s="259"/>
      <c r="C1785" s="260">
        <f>M3</f>
        <v>40000</v>
      </c>
      <c r="D1785" s="261">
        <f>N3</f>
        <v>1.76</v>
      </c>
      <c r="E1785" s="276">
        <f>C1785*D1785</f>
        <v>70400</v>
      </c>
      <c r="F1785" s="222">
        <v>0.05</v>
      </c>
      <c r="G1785" s="224">
        <f>F1785*E1785</f>
        <v>3520</v>
      </c>
    </row>
    <row r="1786" spans="1:7" s="1088" customFormat="1" ht="14.25" x14ac:dyDescent="0.2">
      <c r="A1786" s="209"/>
      <c r="B1786" s="245"/>
      <c r="C1786" s="265"/>
      <c r="D1786" s="246"/>
      <c r="E1786" s="265"/>
      <c r="F1786" s="266"/>
      <c r="G1786" s="267"/>
    </row>
    <row r="1787" spans="1:7" s="1088" customFormat="1" ht="14.25" x14ac:dyDescent="0.2">
      <c r="A1787" s="249"/>
      <c r="B1787" s="250"/>
      <c r="C1787" s="252"/>
      <c r="D1787" s="251"/>
      <c r="E1787" s="252"/>
      <c r="F1787" s="254"/>
      <c r="G1787" s="268"/>
    </row>
    <row r="1788" spans="1:7" s="1088" customFormat="1" ht="15" x14ac:dyDescent="0.25">
      <c r="A1788" s="209"/>
      <c r="B1788" s="212"/>
      <c r="C1788" s="211"/>
      <c r="D1788" s="212"/>
      <c r="E1788" s="269"/>
      <c r="F1788" s="269" t="s">
        <v>121</v>
      </c>
      <c r="G1788" s="270">
        <f>+SUM(G1784:G1787)</f>
        <v>5542.3984</v>
      </c>
    </row>
    <row r="1789" spans="1:7" s="1088" customFormat="1" ht="15" x14ac:dyDescent="0.25">
      <c r="A1789" s="209"/>
      <c r="B1789" s="212"/>
      <c r="C1789" s="211"/>
      <c r="D1789" s="212"/>
      <c r="E1789" s="257"/>
      <c r="F1789" s="257"/>
      <c r="G1789" s="271"/>
    </row>
    <row r="1790" spans="1:7" s="1088" customFormat="1" ht="15" x14ac:dyDescent="0.25">
      <c r="A1790" s="216" t="s">
        <v>135</v>
      </c>
      <c r="B1790" s="212"/>
      <c r="C1790" s="211"/>
      <c r="D1790" s="212"/>
      <c r="E1790" s="213"/>
      <c r="F1790" s="214"/>
      <c r="G1790" s="215"/>
    </row>
    <row r="1791" spans="1:7" s="1088" customFormat="1" ht="14.25" x14ac:dyDescent="0.2">
      <c r="A1791" s="209"/>
      <c r="B1791" s="212"/>
      <c r="C1791" s="211"/>
      <c r="D1791" s="212"/>
      <c r="E1791" s="213"/>
      <c r="F1791" s="214"/>
      <c r="G1791" s="215"/>
    </row>
    <row r="1792" spans="1:7" s="1088" customFormat="1" ht="15" x14ac:dyDescent="0.25">
      <c r="A1792" s="1071" t="s">
        <v>116</v>
      </c>
      <c r="B1792" s="1072"/>
      <c r="C1792" s="236" t="s">
        <v>117</v>
      </c>
      <c r="D1792" s="235" t="s">
        <v>136</v>
      </c>
      <c r="E1792" s="236" t="s">
        <v>124</v>
      </c>
      <c r="F1792" s="237" t="s">
        <v>126</v>
      </c>
      <c r="G1792" s="238" t="s">
        <v>134</v>
      </c>
    </row>
    <row r="1793" spans="1:8" s="1088" customFormat="1" ht="14.25" x14ac:dyDescent="0.2">
      <c r="A1793" s="209" t="s">
        <v>175</v>
      </c>
      <c r="B1793" s="286"/>
      <c r="C1793" s="287" t="s">
        <v>79</v>
      </c>
      <c r="D1793" s="261"/>
      <c r="E1793" s="276">
        <v>68000</v>
      </c>
      <c r="F1793" s="222">
        <v>0.05</v>
      </c>
      <c r="G1793" s="224">
        <f>F1793*E1793</f>
        <v>3400</v>
      </c>
    </row>
    <row r="1794" spans="1:8" s="1088" customFormat="1" ht="14.25" x14ac:dyDescent="0.2">
      <c r="A1794" s="209"/>
      <c r="B1794" s="275"/>
      <c r="C1794" s="260"/>
      <c r="D1794" s="261"/>
      <c r="E1794" s="276"/>
      <c r="F1794" s="222"/>
      <c r="G1794" s="224"/>
    </row>
    <row r="1795" spans="1:8" s="1088" customFormat="1" ht="14.25" x14ac:dyDescent="0.2">
      <c r="A1795" s="209"/>
      <c r="B1795" s="259"/>
      <c r="C1795" s="260"/>
      <c r="D1795" s="261"/>
      <c r="E1795" s="276"/>
      <c r="F1795" s="222"/>
      <c r="G1795" s="224"/>
    </row>
    <row r="1796" spans="1:8" s="1088" customFormat="1" ht="14.25" x14ac:dyDescent="0.2">
      <c r="A1796" s="209"/>
      <c r="B1796" s="259"/>
      <c r="C1796" s="260"/>
      <c r="D1796" s="261"/>
      <c r="E1796" s="276"/>
      <c r="F1796" s="222"/>
      <c r="G1796" s="224"/>
    </row>
    <row r="1797" spans="1:8" s="1088" customFormat="1" ht="14.25" x14ac:dyDescent="0.2">
      <c r="A1797" s="209"/>
      <c r="B1797" s="245"/>
      <c r="C1797" s="265"/>
      <c r="D1797" s="246"/>
      <c r="E1797" s="265"/>
      <c r="F1797" s="266"/>
      <c r="G1797" s="267"/>
    </row>
    <row r="1798" spans="1:8" s="1088" customFormat="1" ht="14.25" x14ac:dyDescent="0.2">
      <c r="A1798" s="249"/>
      <c r="B1798" s="250"/>
      <c r="C1798" s="252"/>
      <c r="D1798" s="251"/>
      <c r="E1798" s="252"/>
      <c r="F1798" s="254"/>
      <c r="G1798" s="268"/>
    </row>
    <row r="1799" spans="1:8" s="1088" customFormat="1" ht="15" x14ac:dyDescent="0.25">
      <c r="A1799" s="209"/>
      <c r="B1799" s="212"/>
      <c r="C1799" s="211"/>
      <c r="D1799" s="212"/>
      <c r="E1799" s="269"/>
      <c r="F1799" s="269" t="s">
        <v>121</v>
      </c>
      <c r="G1799" s="270">
        <f>+SUM(G1793:G1798)</f>
        <v>3400</v>
      </c>
    </row>
    <row r="1800" spans="1:8" s="1088" customFormat="1" ht="14.25" x14ac:dyDescent="0.2">
      <c r="A1800" s="209"/>
      <c r="B1800" s="212"/>
      <c r="C1800" s="211"/>
      <c r="D1800" s="212"/>
      <c r="E1800" s="213"/>
      <c r="F1800" s="214"/>
      <c r="G1800" s="271"/>
    </row>
    <row r="1801" spans="1:8" s="1088" customFormat="1" ht="15" x14ac:dyDescent="0.25">
      <c r="A1801" s="277"/>
      <c r="B1801" s="278"/>
      <c r="C1801" s="278"/>
      <c r="D1801" s="278"/>
      <c r="E1801" s="279"/>
      <c r="F1801" s="280" t="s">
        <v>137</v>
      </c>
      <c r="G1801" s="283">
        <f>+ROUND(G1769+G1779+G1788+G1799,0)</f>
        <v>54220</v>
      </c>
    </row>
    <row r="1802" spans="1:8" s="1088" customFormat="1" ht="15" x14ac:dyDescent="0.25">
      <c r="A1802" s="209"/>
      <c r="B1802" s="212"/>
      <c r="C1802" s="212"/>
      <c r="D1802" s="212"/>
      <c r="E1802" s="211"/>
      <c r="F1802" s="257"/>
      <c r="G1802" s="257"/>
      <c r="H1802" s="257"/>
    </row>
    <row r="1803" spans="1:8" s="1088" customFormat="1" ht="15" x14ac:dyDescent="0.25">
      <c r="A1803" s="209"/>
      <c r="B1803" s="212"/>
      <c r="C1803" s="212"/>
      <c r="D1803" s="212"/>
      <c r="E1803" s="211"/>
      <c r="F1803" s="257"/>
      <c r="G1803" s="257"/>
      <c r="H1803" s="257"/>
    </row>
    <row r="1804" spans="1:8" s="1088" customFormat="1" ht="15" x14ac:dyDescent="0.25">
      <c r="A1804" s="145" t="s">
        <v>160</v>
      </c>
      <c r="B1804" s="1262" t="s">
        <v>161</v>
      </c>
      <c r="C1804" s="1263"/>
      <c r="D1804" s="1263"/>
      <c r="E1804" s="1263"/>
      <c r="F1804" s="1264"/>
      <c r="G1804" s="146" t="s">
        <v>2</v>
      </c>
    </row>
    <row r="1805" spans="1:8" s="1088" customFormat="1" ht="15" x14ac:dyDescent="0.25">
      <c r="A1805" s="285">
        <f>'FORMATO PROPUESTA ECONÓMICA'!A59</f>
        <v>6.27</v>
      </c>
      <c r="B1805" s="1265" t="str">
        <f>'FORMATO PROPUESTA ECONÓMICA'!B59</f>
        <v>Portabrida PEAD PN10 d= 200mm</v>
      </c>
      <c r="C1805" s="1266"/>
      <c r="D1805" s="1266"/>
      <c r="E1805" s="1266"/>
      <c r="F1805" s="1267"/>
      <c r="G1805" s="187" t="str">
        <f>'FORMATO PROPUESTA ECONÓMICA'!C59</f>
        <v>und</v>
      </c>
    </row>
    <row r="1806" spans="1:8" s="1088" customFormat="1" ht="14.25" x14ac:dyDescent="0.2">
      <c r="A1806" s="209"/>
      <c r="B1806" s="210"/>
      <c r="C1806" s="211"/>
      <c r="D1806" s="212"/>
      <c r="E1806" s="213"/>
      <c r="F1806" s="214"/>
      <c r="G1806" s="215"/>
    </row>
    <row r="1807" spans="1:8" s="1088" customFormat="1" ht="15" x14ac:dyDescent="0.25">
      <c r="A1807" s="216" t="s">
        <v>115</v>
      </c>
      <c r="B1807" s="212"/>
      <c r="C1807" s="211"/>
      <c r="D1807" s="212"/>
      <c r="E1807" s="213"/>
      <c r="F1807" s="214"/>
      <c r="G1807" s="215"/>
    </row>
    <row r="1808" spans="1:8" s="1088" customFormat="1" ht="14.25" x14ac:dyDescent="0.2">
      <c r="A1808" s="209"/>
      <c r="B1808" s="212"/>
      <c r="C1808" s="211"/>
      <c r="D1808" s="212"/>
      <c r="E1808" s="213"/>
      <c r="F1808" s="214"/>
      <c r="G1808" s="215"/>
    </row>
    <row r="1809" spans="1:7" s="1088" customFormat="1" ht="15" customHeight="1" x14ac:dyDescent="0.25">
      <c r="A1809" s="1075" t="s">
        <v>116</v>
      </c>
      <c r="B1809" s="1076"/>
      <c r="C1809" s="217" t="s">
        <v>117</v>
      </c>
      <c r="D1809" s="1075" t="s">
        <v>118</v>
      </c>
      <c r="E1809" s="218" t="s">
        <v>39</v>
      </c>
      <c r="F1809" s="1075" t="s">
        <v>119</v>
      </c>
      <c r="G1809" s="219" t="s">
        <v>120</v>
      </c>
    </row>
    <row r="1810" spans="1:7" s="1088" customFormat="1" ht="14.25" x14ac:dyDescent="0.2">
      <c r="A1810" s="209"/>
      <c r="B1810" s="286"/>
      <c r="C1810" s="220"/>
      <c r="D1810" s="261"/>
      <c r="E1810" s="276"/>
      <c r="F1810" s="222"/>
      <c r="G1810" s="224"/>
    </row>
    <row r="1811" spans="1:7" s="1088" customFormat="1" ht="14.25" x14ac:dyDescent="0.2">
      <c r="A1811" s="1254" t="str">
        <f>B1805</f>
        <v>Portabrida PEAD PN10 d= 200mm</v>
      </c>
      <c r="B1811" s="1255"/>
      <c r="C1811" s="225" t="s">
        <v>79</v>
      </c>
      <c r="D1811" s="68"/>
      <c r="E1811" s="226">
        <v>1</v>
      </c>
      <c r="F1811" s="227"/>
      <c r="G1811" s="228">
        <f>D1811*E1811</f>
        <v>0</v>
      </c>
    </row>
    <row r="1812" spans="1:7" s="1088" customFormat="1" ht="14.25" x14ac:dyDescent="0.2">
      <c r="A1812" s="1060"/>
      <c r="B1812" s="1068"/>
      <c r="C1812" s="229"/>
      <c r="D1812" s="288"/>
      <c r="E1812" s="226"/>
      <c r="F1812" s="227"/>
      <c r="G1812" s="228">
        <f>D1812*E1812</f>
        <v>0</v>
      </c>
    </row>
    <row r="1813" spans="1:7" s="1088" customFormat="1" ht="14.25" x14ac:dyDescent="0.2">
      <c r="A1813" s="1060"/>
      <c r="B1813" s="1068"/>
      <c r="C1813" s="225"/>
      <c r="D1813" s="221"/>
      <c r="E1813" s="226"/>
      <c r="F1813" s="227"/>
      <c r="G1813" s="228">
        <f>D1813*E1813</f>
        <v>0</v>
      </c>
    </row>
    <row r="1814" spans="1:7" s="1088" customFormat="1" ht="14.25" x14ac:dyDescent="0.2">
      <c r="A1814" s="1069"/>
      <c r="B1814" s="1070"/>
      <c r="C1814" s="230"/>
      <c r="D1814" s="231"/>
      <c r="E1814" s="232"/>
      <c r="F1814" s="233"/>
      <c r="G1814" s="228">
        <f>D1814*E1814</f>
        <v>0</v>
      </c>
    </row>
    <row r="1815" spans="1:7" s="1088" customFormat="1" ht="15" x14ac:dyDescent="0.25">
      <c r="A1815" s="1073"/>
      <c r="B1815" s="210"/>
      <c r="C1815" s="211"/>
      <c r="D1815" s="212"/>
      <c r="E1815" s="212"/>
      <c r="F1815" s="234" t="s">
        <v>121</v>
      </c>
      <c r="G1815" s="231">
        <f>+SUM(G1810:G1814)</f>
        <v>0</v>
      </c>
    </row>
    <row r="1816" spans="1:7" s="1088" customFormat="1" ht="14.25" x14ac:dyDescent="0.2">
      <c r="A1816" s="209"/>
      <c r="B1816" s="212"/>
      <c r="C1816" s="211" t="s">
        <v>123</v>
      </c>
      <c r="D1816" s="212"/>
      <c r="E1816" s="213"/>
      <c r="F1816" s="214"/>
      <c r="G1816" s="215"/>
    </row>
    <row r="1817" spans="1:7" s="1088" customFormat="1" ht="15" x14ac:dyDescent="0.25">
      <c r="A1817" s="216" t="s">
        <v>122</v>
      </c>
      <c r="B1817" s="212"/>
      <c r="C1817" s="211" t="s">
        <v>123</v>
      </c>
      <c r="D1817" s="212"/>
      <c r="E1817" s="213"/>
      <c r="F1817" s="214"/>
      <c r="G1817" s="215"/>
    </row>
    <row r="1818" spans="1:7" s="1088" customFormat="1" ht="14.25" x14ac:dyDescent="0.2">
      <c r="A1818" s="209"/>
      <c r="B1818" s="212"/>
      <c r="C1818" s="211"/>
      <c r="D1818" s="212"/>
      <c r="E1818" s="213"/>
      <c r="F1818" s="214"/>
      <c r="G1818" s="215"/>
    </row>
    <row r="1819" spans="1:7" s="1088" customFormat="1" ht="15" x14ac:dyDescent="0.25">
      <c r="A1819" s="1071" t="s">
        <v>116</v>
      </c>
      <c r="B1819" s="1072"/>
      <c r="C1819" s="235" t="s">
        <v>117</v>
      </c>
      <c r="D1819" s="236" t="s">
        <v>124</v>
      </c>
      <c r="E1819" s="236" t="s">
        <v>125</v>
      </c>
      <c r="F1819" s="237" t="s">
        <v>126</v>
      </c>
      <c r="G1819" s="238" t="s">
        <v>120</v>
      </c>
    </row>
    <row r="1820" spans="1:7" s="1088" customFormat="1" ht="28.5" x14ac:dyDescent="0.2">
      <c r="A1820" s="1066" t="s">
        <v>127</v>
      </c>
      <c r="B1820" s="1067"/>
      <c r="C1820" s="239" t="s">
        <v>128</v>
      </c>
      <c r="D1820" s="240"/>
      <c r="E1820" s="241"/>
      <c r="F1820" s="222"/>
      <c r="G1820" s="242">
        <f>G1834*0.05</f>
        <v>277.11992000000004</v>
      </c>
    </row>
    <row r="1821" spans="1:7" s="1088" customFormat="1" ht="14.25" x14ac:dyDescent="0.2">
      <c r="A1821" s="1073" t="s">
        <v>174</v>
      </c>
      <c r="B1821" s="1074"/>
      <c r="C1821" s="243" t="s">
        <v>176</v>
      </c>
      <c r="D1821" s="221">
        <v>450000</v>
      </c>
      <c r="E1821" s="244"/>
      <c r="F1821" s="222">
        <v>0.1</v>
      </c>
      <c r="G1821" s="224">
        <f>D1821*F1821</f>
        <v>45000</v>
      </c>
    </row>
    <row r="1822" spans="1:7" s="1088" customFormat="1" ht="14.25" x14ac:dyDescent="0.2">
      <c r="A1822" s="1073"/>
      <c r="B1822" s="1074"/>
      <c r="C1822" s="243"/>
      <c r="D1822" s="221"/>
      <c r="E1822" s="244"/>
      <c r="F1822" s="222"/>
      <c r="G1822" s="224"/>
    </row>
    <row r="1823" spans="1:7" s="1088" customFormat="1" ht="14.25" x14ac:dyDescent="0.2">
      <c r="A1823" s="209"/>
      <c r="B1823" s="245"/>
      <c r="C1823" s="246"/>
      <c r="D1823" s="221"/>
      <c r="E1823" s="247"/>
      <c r="F1823" s="222"/>
      <c r="G1823" s="248"/>
    </row>
    <row r="1824" spans="1:7" s="1088" customFormat="1" ht="14.25" x14ac:dyDescent="0.2">
      <c r="A1824" s="249"/>
      <c r="B1824" s="250"/>
      <c r="C1824" s="251"/>
      <c r="D1824" s="252"/>
      <c r="E1824" s="253"/>
      <c r="F1824" s="254"/>
      <c r="G1824" s="255"/>
    </row>
    <row r="1825" spans="1:7" s="1088" customFormat="1" ht="15" x14ac:dyDescent="0.25">
      <c r="A1825" s="209"/>
      <c r="B1825" s="214"/>
      <c r="C1825" s="256"/>
      <c r="D1825" s="214"/>
      <c r="E1825" s="212"/>
      <c r="F1825" s="257" t="s">
        <v>121</v>
      </c>
      <c r="G1825" s="258">
        <f>+SUM(G1820:G1824)</f>
        <v>45277.119919999997</v>
      </c>
    </row>
    <row r="1826" spans="1:7" s="1088" customFormat="1" ht="14.25" x14ac:dyDescent="0.2">
      <c r="A1826" s="209"/>
      <c r="B1826" s="212"/>
      <c r="C1826" s="211"/>
      <c r="D1826" s="212"/>
      <c r="E1826" s="213"/>
      <c r="F1826" s="212"/>
      <c r="G1826" s="215"/>
    </row>
    <row r="1827" spans="1:7" s="1088" customFormat="1" ht="15" x14ac:dyDescent="0.25">
      <c r="A1827" s="216" t="s">
        <v>130</v>
      </c>
      <c r="B1827" s="212"/>
      <c r="C1827" s="211"/>
      <c r="D1827" s="212"/>
      <c r="E1827" s="213"/>
      <c r="F1827" s="214"/>
      <c r="G1827" s="215"/>
    </row>
    <row r="1828" spans="1:7" s="1088" customFormat="1" ht="14.25" x14ac:dyDescent="0.2">
      <c r="A1828" s="209"/>
      <c r="B1828" s="212"/>
      <c r="C1828" s="211"/>
      <c r="D1828" s="212"/>
      <c r="E1828" s="213"/>
      <c r="F1828" s="214"/>
      <c r="G1828" s="215"/>
    </row>
    <row r="1829" spans="1:7" s="1088" customFormat="1" ht="15" x14ac:dyDescent="0.25">
      <c r="A1829" s="1071" t="s">
        <v>116</v>
      </c>
      <c r="B1829" s="1072"/>
      <c r="C1829" s="236" t="s">
        <v>131</v>
      </c>
      <c r="D1829" s="235" t="s">
        <v>132</v>
      </c>
      <c r="E1829" s="236" t="s">
        <v>133</v>
      </c>
      <c r="F1829" s="237" t="s">
        <v>126</v>
      </c>
      <c r="G1829" s="238" t="s">
        <v>134</v>
      </c>
    </row>
    <row r="1830" spans="1:7" s="1088" customFormat="1" ht="14.25" x14ac:dyDescent="0.2">
      <c r="A1830" s="209" t="s">
        <v>10</v>
      </c>
      <c r="B1830" s="259"/>
      <c r="C1830" s="260">
        <f>M2</f>
        <v>22981.8</v>
      </c>
      <c r="D1830" s="261">
        <f>N2</f>
        <v>1.76</v>
      </c>
      <c r="E1830" s="276">
        <f>C1830*D1830</f>
        <v>40447.968000000001</v>
      </c>
      <c r="F1830" s="222">
        <v>0.05</v>
      </c>
      <c r="G1830" s="224">
        <f>F1830*E1830</f>
        <v>2022.3984</v>
      </c>
    </row>
    <row r="1831" spans="1:7" s="1088" customFormat="1" ht="14.25" x14ac:dyDescent="0.2">
      <c r="A1831" s="209" t="s">
        <v>140</v>
      </c>
      <c r="B1831" s="259"/>
      <c r="C1831" s="260">
        <f>M3</f>
        <v>40000</v>
      </c>
      <c r="D1831" s="261">
        <f>N3</f>
        <v>1.76</v>
      </c>
      <c r="E1831" s="276">
        <f>C1831*D1831</f>
        <v>70400</v>
      </c>
      <c r="F1831" s="222">
        <v>0.05</v>
      </c>
      <c r="G1831" s="224">
        <f>F1831*E1831</f>
        <v>3520</v>
      </c>
    </row>
    <row r="1832" spans="1:7" s="1088" customFormat="1" ht="14.25" x14ac:dyDescent="0.2">
      <c r="A1832" s="209"/>
      <c r="B1832" s="245"/>
      <c r="C1832" s="265"/>
      <c r="D1832" s="246"/>
      <c r="E1832" s="265"/>
      <c r="F1832" s="266"/>
      <c r="G1832" s="267"/>
    </row>
    <row r="1833" spans="1:7" s="1088" customFormat="1" ht="14.25" x14ac:dyDescent="0.2">
      <c r="A1833" s="249"/>
      <c r="B1833" s="250"/>
      <c r="C1833" s="252"/>
      <c r="D1833" s="251"/>
      <c r="E1833" s="252"/>
      <c r="F1833" s="254"/>
      <c r="G1833" s="268"/>
    </row>
    <row r="1834" spans="1:7" s="1088" customFormat="1" ht="15" x14ac:dyDescent="0.25">
      <c r="A1834" s="209"/>
      <c r="B1834" s="212"/>
      <c r="C1834" s="211"/>
      <c r="D1834" s="212"/>
      <c r="E1834" s="269"/>
      <c r="F1834" s="269" t="s">
        <v>121</v>
      </c>
      <c r="G1834" s="270">
        <f>+SUM(G1830:G1833)</f>
        <v>5542.3984</v>
      </c>
    </row>
    <row r="1835" spans="1:7" s="1088" customFormat="1" ht="15" x14ac:dyDescent="0.25">
      <c r="A1835" s="209"/>
      <c r="B1835" s="212"/>
      <c r="C1835" s="211"/>
      <c r="D1835" s="212"/>
      <c r="E1835" s="257"/>
      <c r="F1835" s="257"/>
      <c r="G1835" s="271"/>
    </row>
    <row r="1836" spans="1:7" s="1088" customFormat="1" ht="15" x14ac:dyDescent="0.25">
      <c r="A1836" s="216" t="s">
        <v>135</v>
      </c>
      <c r="B1836" s="212"/>
      <c r="C1836" s="211"/>
      <c r="D1836" s="212"/>
      <c r="E1836" s="213"/>
      <c r="F1836" s="214"/>
      <c r="G1836" s="215"/>
    </row>
    <row r="1837" spans="1:7" s="1088" customFormat="1" ht="14.25" x14ac:dyDescent="0.2">
      <c r="A1837" s="209"/>
      <c r="B1837" s="212"/>
      <c r="C1837" s="211"/>
      <c r="D1837" s="212"/>
      <c r="E1837" s="213"/>
      <c r="F1837" s="214"/>
      <c r="G1837" s="215"/>
    </row>
    <row r="1838" spans="1:7" s="1088" customFormat="1" ht="15" x14ac:dyDescent="0.25">
      <c r="A1838" s="1071" t="s">
        <v>116</v>
      </c>
      <c r="B1838" s="1072"/>
      <c r="C1838" s="236" t="s">
        <v>117</v>
      </c>
      <c r="D1838" s="235" t="s">
        <v>136</v>
      </c>
      <c r="E1838" s="236" t="s">
        <v>124</v>
      </c>
      <c r="F1838" s="237" t="s">
        <v>126</v>
      </c>
      <c r="G1838" s="238" t="s">
        <v>134</v>
      </c>
    </row>
    <row r="1839" spans="1:7" s="1088" customFormat="1" ht="14.25" x14ac:dyDescent="0.2">
      <c r="A1839" s="209" t="s">
        <v>175</v>
      </c>
      <c r="B1839" s="286"/>
      <c r="C1839" s="287" t="s">
        <v>79</v>
      </c>
      <c r="D1839" s="261"/>
      <c r="E1839" s="276">
        <v>68000</v>
      </c>
      <c r="F1839" s="222">
        <v>0.05</v>
      </c>
      <c r="G1839" s="224">
        <f>F1839*E1839</f>
        <v>3400</v>
      </c>
    </row>
    <row r="1840" spans="1:7" s="1088" customFormat="1" ht="14.25" x14ac:dyDescent="0.2">
      <c r="A1840" s="209"/>
      <c r="B1840" s="275"/>
      <c r="C1840" s="260"/>
      <c r="D1840" s="261"/>
      <c r="E1840" s="276"/>
      <c r="F1840" s="222"/>
      <c r="G1840" s="224"/>
    </row>
    <row r="1841" spans="1:8" s="1088" customFormat="1" ht="14.25" x14ac:dyDescent="0.2">
      <c r="A1841" s="209"/>
      <c r="B1841" s="259"/>
      <c r="C1841" s="260"/>
      <c r="D1841" s="261"/>
      <c r="E1841" s="276"/>
      <c r="F1841" s="222"/>
      <c r="G1841" s="224"/>
    </row>
    <row r="1842" spans="1:8" s="1088" customFormat="1" ht="14.25" x14ac:dyDescent="0.2">
      <c r="A1842" s="209"/>
      <c r="B1842" s="259"/>
      <c r="C1842" s="260"/>
      <c r="D1842" s="261"/>
      <c r="E1842" s="276"/>
      <c r="F1842" s="222"/>
      <c r="G1842" s="224"/>
    </row>
    <row r="1843" spans="1:8" s="1088" customFormat="1" ht="14.25" x14ac:dyDescent="0.2">
      <c r="A1843" s="209"/>
      <c r="B1843" s="245"/>
      <c r="C1843" s="265"/>
      <c r="D1843" s="246"/>
      <c r="E1843" s="265"/>
      <c r="F1843" s="266"/>
      <c r="G1843" s="267"/>
    </row>
    <row r="1844" spans="1:8" s="1088" customFormat="1" ht="14.25" x14ac:dyDescent="0.2">
      <c r="A1844" s="249"/>
      <c r="B1844" s="250"/>
      <c r="C1844" s="252"/>
      <c r="D1844" s="251"/>
      <c r="E1844" s="252"/>
      <c r="F1844" s="254"/>
      <c r="G1844" s="268"/>
    </row>
    <row r="1845" spans="1:8" s="1088" customFormat="1" ht="15" x14ac:dyDescent="0.25">
      <c r="A1845" s="209"/>
      <c r="B1845" s="212"/>
      <c r="C1845" s="211"/>
      <c r="D1845" s="212"/>
      <c r="E1845" s="269"/>
      <c r="F1845" s="269" t="s">
        <v>121</v>
      </c>
      <c r="G1845" s="270">
        <f>+SUM(G1839:G1844)</f>
        <v>3400</v>
      </c>
    </row>
    <row r="1846" spans="1:8" s="1088" customFormat="1" ht="14.25" x14ac:dyDescent="0.2">
      <c r="A1846" s="209"/>
      <c r="B1846" s="212"/>
      <c r="C1846" s="211"/>
      <c r="D1846" s="212"/>
      <c r="E1846" s="213"/>
      <c r="F1846" s="214"/>
      <c r="G1846" s="271"/>
    </row>
    <row r="1847" spans="1:8" s="1088" customFormat="1" ht="15" x14ac:dyDescent="0.25">
      <c r="A1847" s="277"/>
      <c r="B1847" s="278"/>
      <c r="C1847" s="278"/>
      <c r="D1847" s="278"/>
      <c r="E1847" s="279"/>
      <c r="F1847" s="280" t="s">
        <v>137</v>
      </c>
      <c r="G1847" s="283">
        <f>+ROUND(G1815+G1825+G1834+G1845,0)</f>
        <v>54220</v>
      </c>
    </row>
    <row r="1848" spans="1:8" s="1088" customFormat="1" ht="15" x14ac:dyDescent="0.25">
      <c r="A1848" s="209"/>
      <c r="B1848" s="212"/>
      <c r="C1848" s="212"/>
      <c r="D1848" s="212"/>
      <c r="E1848" s="211"/>
      <c r="F1848" s="257"/>
      <c r="G1848" s="257"/>
      <c r="H1848" s="257"/>
    </row>
    <row r="1849" spans="1:8" s="1088" customFormat="1" ht="15" x14ac:dyDescent="0.25">
      <c r="A1849" s="145" t="s">
        <v>160</v>
      </c>
      <c r="B1849" s="1262" t="s">
        <v>161</v>
      </c>
      <c r="C1849" s="1263"/>
      <c r="D1849" s="1263"/>
      <c r="E1849" s="1263"/>
      <c r="F1849" s="1264"/>
      <c r="G1849" s="146" t="s">
        <v>2</v>
      </c>
    </row>
    <row r="1850" spans="1:8" s="1088" customFormat="1" ht="15" x14ac:dyDescent="0.25">
      <c r="A1850" s="285">
        <f>'FORMATO PROPUESTA ECONÓMICA'!A60</f>
        <v>6.28</v>
      </c>
      <c r="B1850" s="1265" t="str">
        <f>'FORMATO PROPUESTA ECONÓMICA'!B60</f>
        <v>S.T.C. de Tee partida 8"x3", inclyue Tornilleria y tuberia de nivelacion</v>
      </c>
      <c r="C1850" s="1266"/>
      <c r="D1850" s="1266"/>
      <c r="E1850" s="1266"/>
      <c r="F1850" s="1267"/>
      <c r="G1850" s="187" t="str">
        <f>'FORMATO PROPUESTA ECONÓMICA'!C60</f>
        <v>und</v>
      </c>
    </row>
    <row r="1851" spans="1:8" s="1088" customFormat="1" ht="14.25" x14ac:dyDescent="0.2">
      <c r="A1851" s="209"/>
      <c r="B1851" s="210"/>
      <c r="C1851" s="211"/>
      <c r="D1851" s="212"/>
      <c r="E1851" s="213"/>
      <c r="F1851" s="214"/>
      <c r="G1851" s="215"/>
    </row>
    <row r="1852" spans="1:8" s="1088" customFormat="1" ht="15" x14ac:dyDescent="0.25">
      <c r="A1852" s="216" t="s">
        <v>115</v>
      </c>
      <c r="B1852" s="212"/>
      <c r="C1852" s="211"/>
      <c r="D1852" s="212"/>
      <c r="E1852" s="213"/>
      <c r="F1852" s="214"/>
      <c r="G1852" s="215"/>
    </row>
    <row r="1853" spans="1:8" s="1088" customFormat="1" ht="14.25" x14ac:dyDescent="0.2">
      <c r="A1853" s="209"/>
      <c r="B1853" s="212"/>
      <c r="C1853" s="211"/>
      <c r="D1853" s="212"/>
      <c r="E1853" s="213"/>
      <c r="F1853" s="214"/>
      <c r="G1853" s="215"/>
    </row>
    <row r="1854" spans="1:8" s="1088" customFormat="1" ht="15" customHeight="1" x14ac:dyDescent="0.25">
      <c r="A1854" s="1075" t="s">
        <v>116</v>
      </c>
      <c r="B1854" s="1076"/>
      <c r="C1854" s="217" t="s">
        <v>117</v>
      </c>
      <c r="D1854" s="1075" t="s">
        <v>118</v>
      </c>
      <c r="E1854" s="218" t="s">
        <v>39</v>
      </c>
      <c r="F1854" s="1075" t="s">
        <v>119</v>
      </c>
      <c r="G1854" s="219" t="s">
        <v>120</v>
      </c>
    </row>
    <row r="1855" spans="1:8" s="1088" customFormat="1" ht="14.25" x14ac:dyDescent="0.2">
      <c r="A1855" s="209"/>
      <c r="B1855" s="286"/>
      <c r="C1855" s="220"/>
      <c r="D1855" s="261"/>
      <c r="E1855" s="276"/>
      <c r="F1855" s="222"/>
      <c r="G1855" s="224"/>
    </row>
    <row r="1856" spans="1:8" s="1088" customFormat="1" ht="14.25" x14ac:dyDescent="0.2">
      <c r="A1856" s="1254" t="str">
        <f>B1850</f>
        <v>S.T.C. de Tee partida 8"x3", inclyue Tornilleria y tuberia de nivelacion</v>
      </c>
      <c r="B1856" s="1255"/>
      <c r="C1856" s="225">
        <v>1</v>
      </c>
      <c r="D1856" s="221">
        <f>2356098*1.16</f>
        <v>2733073.6799999997</v>
      </c>
      <c r="E1856" s="226">
        <v>1</v>
      </c>
      <c r="F1856" s="227"/>
      <c r="G1856" s="228">
        <f>D1856*E1856</f>
        <v>2733073.6799999997</v>
      </c>
    </row>
    <row r="1857" spans="1:7" s="1088" customFormat="1" ht="14.25" x14ac:dyDescent="0.2">
      <c r="A1857" s="1060"/>
      <c r="B1857" s="1068"/>
      <c r="C1857" s="229"/>
      <c r="D1857" s="221"/>
      <c r="E1857" s="226"/>
      <c r="F1857" s="227"/>
      <c r="G1857" s="228">
        <f>D1857*E1857</f>
        <v>0</v>
      </c>
    </row>
    <row r="1858" spans="1:7" s="1088" customFormat="1" ht="14.25" x14ac:dyDescent="0.2">
      <c r="A1858" s="1060"/>
      <c r="B1858" s="1068"/>
      <c r="C1858" s="225"/>
      <c r="D1858" s="221"/>
      <c r="E1858" s="226"/>
      <c r="F1858" s="227"/>
      <c r="G1858" s="228">
        <f>D1858*E1858</f>
        <v>0</v>
      </c>
    </row>
    <row r="1859" spans="1:7" s="1088" customFormat="1" ht="14.25" x14ac:dyDescent="0.2">
      <c r="A1859" s="1069"/>
      <c r="B1859" s="1070"/>
      <c r="C1859" s="230"/>
      <c r="D1859" s="231"/>
      <c r="E1859" s="232"/>
      <c r="F1859" s="233"/>
      <c r="G1859" s="228">
        <f>D1859*E1859</f>
        <v>0</v>
      </c>
    </row>
    <row r="1860" spans="1:7" s="1088" customFormat="1" ht="14.25" customHeight="1" x14ac:dyDescent="0.25">
      <c r="A1860" s="1073"/>
      <c r="B1860" s="210"/>
      <c r="C1860" s="211"/>
      <c r="D1860" s="212"/>
      <c r="E1860" s="212"/>
      <c r="F1860" s="234" t="s">
        <v>121</v>
      </c>
      <c r="G1860" s="231">
        <f>+SUM(G1855:G1859)</f>
        <v>2733073.6799999997</v>
      </c>
    </row>
    <row r="1861" spans="1:7" s="1088" customFormat="1" ht="14.25" x14ac:dyDescent="0.2">
      <c r="A1861" s="209"/>
      <c r="B1861" s="212"/>
      <c r="C1861" s="211" t="s">
        <v>123</v>
      </c>
      <c r="D1861" s="212"/>
      <c r="E1861" s="213"/>
      <c r="F1861" s="214"/>
      <c r="G1861" s="215"/>
    </row>
    <row r="1862" spans="1:7" s="1088" customFormat="1" ht="15" x14ac:dyDescent="0.25">
      <c r="A1862" s="216" t="s">
        <v>122</v>
      </c>
      <c r="B1862" s="212"/>
      <c r="C1862" s="211" t="s">
        <v>123</v>
      </c>
      <c r="D1862" s="212"/>
      <c r="E1862" s="213"/>
      <c r="F1862" s="214"/>
      <c r="G1862" s="215"/>
    </row>
    <row r="1863" spans="1:7" s="1088" customFormat="1" ht="14.25" x14ac:dyDescent="0.2">
      <c r="A1863" s="209"/>
      <c r="B1863" s="212"/>
      <c r="C1863" s="211"/>
      <c r="D1863" s="212"/>
      <c r="E1863" s="213"/>
      <c r="F1863" s="214"/>
      <c r="G1863" s="215"/>
    </row>
    <row r="1864" spans="1:7" s="1088" customFormat="1" ht="15" x14ac:dyDescent="0.25">
      <c r="A1864" s="1071" t="s">
        <v>116</v>
      </c>
      <c r="B1864" s="1072"/>
      <c r="C1864" s="235" t="s">
        <v>117</v>
      </c>
      <c r="D1864" s="236" t="s">
        <v>124</v>
      </c>
      <c r="E1864" s="236" t="s">
        <v>125</v>
      </c>
      <c r="F1864" s="237" t="s">
        <v>126</v>
      </c>
      <c r="G1864" s="238" t="s">
        <v>120</v>
      </c>
    </row>
    <row r="1865" spans="1:7" s="1088" customFormat="1" ht="28.5" x14ac:dyDescent="0.2">
      <c r="A1865" s="1066" t="s">
        <v>127</v>
      </c>
      <c r="B1865" s="1067"/>
      <c r="C1865" s="239" t="s">
        <v>128</v>
      </c>
      <c r="D1865" s="240"/>
      <c r="E1865" s="241"/>
      <c r="F1865" s="222"/>
      <c r="G1865" s="242">
        <f>G1879*0.05</f>
        <v>27711.991999999998</v>
      </c>
    </row>
    <row r="1866" spans="1:7" s="1088" customFormat="1" ht="14.25" x14ac:dyDescent="0.2">
      <c r="A1866" s="1073"/>
      <c r="B1866" s="1074"/>
      <c r="C1866" s="243"/>
      <c r="D1866" s="221"/>
      <c r="E1866" s="244"/>
      <c r="F1866" s="222"/>
      <c r="G1866" s="224"/>
    </row>
    <row r="1867" spans="1:7" s="1088" customFormat="1" ht="14.25" x14ac:dyDescent="0.2">
      <c r="A1867" s="1073"/>
      <c r="B1867" s="1074"/>
      <c r="C1867" s="243"/>
      <c r="D1867" s="221"/>
      <c r="E1867" s="244"/>
      <c r="F1867" s="222"/>
      <c r="G1867" s="224"/>
    </row>
    <row r="1868" spans="1:7" s="1088" customFormat="1" ht="14.25" x14ac:dyDescent="0.2">
      <c r="A1868" s="209"/>
      <c r="B1868" s="245"/>
      <c r="C1868" s="246"/>
      <c r="D1868" s="221"/>
      <c r="E1868" s="247"/>
      <c r="F1868" s="222"/>
      <c r="G1868" s="248"/>
    </row>
    <row r="1869" spans="1:7" s="1088" customFormat="1" ht="14.25" x14ac:dyDescent="0.2">
      <c r="A1869" s="249"/>
      <c r="B1869" s="250"/>
      <c r="C1869" s="251"/>
      <c r="D1869" s="252"/>
      <c r="E1869" s="253"/>
      <c r="F1869" s="254"/>
      <c r="G1869" s="255"/>
    </row>
    <row r="1870" spans="1:7" s="1088" customFormat="1" ht="15" x14ac:dyDescent="0.25">
      <c r="A1870" s="209"/>
      <c r="B1870" s="214"/>
      <c r="C1870" s="256"/>
      <c r="D1870" s="214"/>
      <c r="E1870" s="212"/>
      <c r="F1870" s="257" t="s">
        <v>121</v>
      </c>
      <c r="G1870" s="258">
        <f>+SUM(G1865:G1869)</f>
        <v>27711.991999999998</v>
      </c>
    </row>
    <row r="1871" spans="1:7" s="1088" customFormat="1" ht="14.25" x14ac:dyDescent="0.2">
      <c r="A1871" s="209"/>
      <c r="B1871" s="212"/>
      <c r="C1871" s="211"/>
      <c r="D1871" s="212"/>
      <c r="E1871" s="213"/>
      <c r="F1871" s="212"/>
      <c r="G1871" s="215"/>
    </row>
    <row r="1872" spans="1:7" s="1088" customFormat="1" ht="15" x14ac:dyDescent="0.25">
      <c r="A1872" s="216" t="s">
        <v>130</v>
      </c>
      <c r="B1872" s="212"/>
      <c r="C1872" s="211"/>
      <c r="D1872" s="212"/>
      <c r="E1872" s="213"/>
      <c r="F1872" s="214"/>
      <c r="G1872" s="215"/>
    </row>
    <row r="1873" spans="1:7" s="1088" customFormat="1" ht="14.25" x14ac:dyDescent="0.2">
      <c r="A1873" s="209"/>
      <c r="B1873" s="212"/>
      <c r="C1873" s="211"/>
      <c r="D1873" s="212"/>
      <c r="E1873" s="213"/>
      <c r="F1873" s="214"/>
      <c r="G1873" s="215"/>
    </row>
    <row r="1874" spans="1:7" s="1088" customFormat="1" ht="15" x14ac:dyDescent="0.25">
      <c r="A1874" s="1071" t="s">
        <v>116</v>
      </c>
      <c r="B1874" s="1072"/>
      <c r="C1874" s="236" t="s">
        <v>131</v>
      </c>
      <c r="D1874" s="235" t="s">
        <v>132</v>
      </c>
      <c r="E1874" s="236" t="s">
        <v>133</v>
      </c>
      <c r="F1874" s="237" t="s">
        <v>126</v>
      </c>
      <c r="G1874" s="238" t="s">
        <v>134</v>
      </c>
    </row>
    <row r="1875" spans="1:7" s="1088" customFormat="1" ht="14.25" x14ac:dyDescent="0.2">
      <c r="A1875" s="209" t="s">
        <v>10</v>
      </c>
      <c r="B1875" s="259"/>
      <c r="C1875" s="260">
        <f>M2</f>
        <v>22981.8</v>
      </c>
      <c r="D1875" s="261">
        <f>N2</f>
        <v>1.76</v>
      </c>
      <c r="E1875" s="276">
        <f>C1875*D1875</f>
        <v>40447.968000000001</v>
      </c>
      <c r="F1875" s="222">
        <v>5</v>
      </c>
      <c r="G1875" s="224">
        <f>F1875*E1875</f>
        <v>202239.84</v>
      </c>
    </row>
    <row r="1876" spans="1:7" s="1088" customFormat="1" ht="14.25" x14ac:dyDescent="0.2">
      <c r="A1876" s="209" t="s">
        <v>140</v>
      </c>
      <c r="B1876" s="259"/>
      <c r="C1876" s="260">
        <f>M3</f>
        <v>40000</v>
      </c>
      <c r="D1876" s="261">
        <f>N2</f>
        <v>1.76</v>
      </c>
      <c r="E1876" s="276">
        <f>C1876*D1876</f>
        <v>70400</v>
      </c>
      <c r="F1876" s="222">
        <v>5</v>
      </c>
      <c r="G1876" s="224">
        <f>F1876*E1876</f>
        <v>352000</v>
      </c>
    </row>
    <row r="1877" spans="1:7" s="1088" customFormat="1" ht="14.25" x14ac:dyDescent="0.2">
      <c r="A1877" s="209"/>
      <c r="B1877" s="245"/>
      <c r="C1877" s="265"/>
      <c r="D1877" s="246"/>
      <c r="E1877" s="265"/>
      <c r="F1877" s="266"/>
      <c r="G1877" s="267"/>
    </row>
    <row r="1878" spans="1:7" s="1088" customFormat="1" ht="14.25" x14ac:dyDescent="0.2">
      <c r="A1878" s="249"/>
      <c r="B1878" s="250"/>
      <c r="C1878" s="252"/>
      <c r="D1878" s="251"/>
      <c r="E1878" s="252"/>
      <c r="F1878" s="254"/>
      <c r="G1878" s="268"/>
    </row>
    <row r="1879" spans="1:7" s="1088" customFormat="1" ht="15" x14ac:dyDescent="0.25">
      <c r="A1879" s="209"/>
      <c r="B1879" s="212"/>
      <c r="C1879" s="211"/>
      <c r="D1879" s="212"/>
      <c r="E1879" s="269"/>
      <c r="F1879" s="269" t="s">
        <v>121</v>
      </c>
      <c r="G1879" s="270">
        <f>+SUM(G1875:G1878)</f>
        <v>554239.84</v>
      </c>
    </row>
    <row r="1880" spans="1:7" s="1088" customFormat="1" ht="15" x14ac:dyDescent="0.25">
      <c r="A1880" s="209"/>
      <c r="B1880" s="212"/>
      <c r="C1880" s="211"/>
      <c r="D1880" s="212"/>
      <c r="E1880" s="257"/>
      <c r="F1880" s="257"/>
      <c r="G1880" s="271"/>
    </row>
    <row r="1881" spans="1:7" s="1088" customFormat="1" ht="15" x14ac:dyDescent="0.25">
      <c r="A1881" s="216" t="s">
        <v>135</v>
      </c>
      <c r="B1881" s="212"/>
      <c r="C1881" s="211"/>
      <c r="D1881" s="212"/>
      <c r="E1881" s="213"/>
      <c r="F1881" s="214"/>
      <c r="G1881" s="215"/>
    </row>
    <row r="1882" spans="1:7" s="1088" customFormat="1" ht="14.25" x14ac:dyDescent="0.2">
      <c r="A1882" s="209"/>
      <c r="B1882" s="212"/>
      <c r="C1882" s="211"/>
      <c r="D1882" s="212"/>
      <c r="E1882" s="213"/>
      <c r="F1882" s="214"/>
      <c r="G1882" s="215"/>
    </row>
    <row r="1883" spans="1:7" s="1088" customFormat="1" ht="15" x14ac:dyDescent="0.25">
      <c r="A1883" s="1071" t="s">
        <v>116</v>
      </c>
      <c r="B1883" s="1072"/>
      <c r="C1883" s="236" t="s">
        <v>117</v>
      </c>
      <c r="D1883" s="235" t="s">
        <v>136</v>
      </c>
      <c r="E1883" s="236" t="s">
        <v>124</v>
      </c>
      <c r="F1883" s="237" t="s">
        <v>126</v>
      </c>
      <c r="G1883" s="238" t="s">
        <v>134</v>
      </c>
    </row>
    <row r="1884" spans="1:7" s="1088" customFormat="1" ht="14.25" x14ac:dyDescent="0.2">
      <c r="A1884" s="209" t="s">
        <v>175</v>
      </c>
      <c r="B1884" s="286"/>
      <c r="C1884" s="287" t="s">
        <v>79</v>
      </c>
      <c r="D1884" s="261"/>
      <c r="E1884" s="276">
        <v>68000</v>
      </c>
      <c r="F1884" s="222">
        <v>0.1</v>
      </c>
      <c r="G1884" s="224">
        <f>F1884*E1884</f>
        <v>6800</v>
      </c>
    </row>
    <row r="1885" spans="1:7" s="1088" customFormat="1" ht="14.25" x14ac:dyDescent="0.2">
      <c r="A1885" s="209"/>
      <c r="B1885" s="275"/>
      <c r="C1885" s="260"/>
      <c r="D1885" s="261"/>
      <c r="E1885" s="276"/>
      <c r="F1885" s="222"/>
      <c r="G1885" s="224"/>
    </row>
    <row r="1886" spans="1:7" s="1088" customFormat="1" ht="14.25" x14ac:dyDescent="0.2">
      <c r="A1886" s="209"/>
      <c r="B1886" s="259"/>
      <c r="C1886" s="260"/>
      <c r="D1886" s="261"/>
      <c r="E1886" s="276"/>
      <c r="F1886" s="222"/>
      <c r="G1886" s="224"/>
    </row>
    <row r="1887" spans="1:7" s="1088" customFormat="1" ht="14.25" x14ac:dyDescent="0.2">
      <c r="A1887" s="209"/>
      <c r="B1887" s="259"/>
      <c r="C1887" s="260"/>
      <c r="D1887" s="261"/>
      <c r="E1887" s="276"/>
      <c r="F1887" s="222"/>
      <c r="G1887" s="224"/>
    </row>
    <row r="1888" spans="1:7" s="1088" customFormat="1" ht="14.25" x14ac:dyDescent="0.2">
      <c r="A1888" s="209"/>
      <c r="B1888" s="245"/>
      <c r="C1888" s="265"/>
      <c r="D1888" s="246"/>
      <c r="E1888" s="265"/>
      <c r="F1888" s="266"/>
      <c r="G1888" s="267"/>
    </row>
    <row r="1889" spans="1:8" s="1088" customFormat="1" ht="14.25" x14ac:dyDescent="0.2">
      <c r="A1889" s="249"/>
      <c r="B1889" s="250"/>
      <c r="C1889" s="252"/>
      <c r="D1889" s="251"/>
      <c r="E1889" s="252"/>
      <c r="F1889" s="254"/>
      <c r="G1889" s="268"/>
    </row>
    <row r="1890" spans="1:8" s="1088" customFormat="1" ht="15" x14ac:dyDescent="0.25">
      <c r="A1890" s="209"/>
      <c r="B1890" s="212"/>
      <c r="C1890" s="211"/>
      <c r="D1890" s="212"/>
      <c r="E1890" s="269"/>
      <c r="F1890" s="269" t="s">
        <v>121</v>
      </c>
      <c r="G1890" s="270">
        <f>+SUM(G1884:G1889)</f>
        <v>6800</v>
      </c>
    </row>
    <row r="1891" spans="1:8" s="1088" customFormat="1" ht="14.25" x14ac:dyDescent="0.2">
      <c r="A1891" s="209"/>
      <c r="B1891" s="212"/>
      <c r="C1891" s="211"/>
      <c r="D1891" s="212"/>
      <c r="E1891" s="213"/>
      <c r="F1891" s="214"/>
      <c r="G1891" s="271"/>
    </row>
    <row r="1892" spans="1:8" s="1088" customFormat="1" ht="15" x14ac:dyDescent="0.25">
      <c r="A1892" s="277"/>
      <c r="B1892" s="278"/>
      <c r="C1892" s="278"/>
      <c r="D1892" s="278"/>
      <c r="E1892" s="279"/>
      <c r="F1892" s="280" t="s">
        <v>137</v>
      </c>
      <c r="G1892" s="283">
        <f>+ROUND(G1860+G1870+G1879+G1890,0)</f>
        <v>3321826</v>
      </c>
    </row>
    <row r="1893" spans="1:8" s="1088" customFormat="1" ht="15" x14ac:dyDescent="0.25">
      <c r="A1893" s="209"/>
      <c r="B1893" s="212"/>
      <c r="C1893" s="212"/>
      <c r="D1893" s="212"/>
      <c r="E1893" s="211"/>
      <c r="F1893" s="257"/>
      <c r="G1893" s="257"/>
      <c r="H1893" s="257"/>
    </row>
    <row r="1894" spans="1:8" s="1088" customFormat="1" ht="15" x14ac:dyDescent="0.25">
      <c r="A1894" s="145" t="s">
        <v>160</v>
      </c>
      <c r="B1894" s="1262" t="s">
        <v>161</v>
      </c>
      <c r="C1894" s="1263"/>
      <c r="D1894" s="1263"/>
      <c r="E1894" s="1263"/>
      <c r="F1894" s="1264"/>
      <c r="G1894" s="146" t="s">
        <v>2</v>
      </c>
    </row>
    <row r="1895" spans="1:8" s="1088" customFormat="1" ht="15" x14ac:dyDescent="0.25">
      <c r="A1895" s="285">
        <f>'FORMATO PROPUESTA ECONÓMICA'!A61</f>
        <v>6.29</v>
      </c>
      <c r="B1895" s="1265" t="str">
        <f>'FORMATO PROPUESTA ECONÓMICA'!B61</f>
        <v>S.T.C. de Tee partida 8"x4", inclyue Tornilleria y tuberia de nivelacion</v>
      </c>
      <c r="C1895" s="1266"/>
      <c r="D1895" s="1266"/>
      <c r="E1895" s="1266"/>
      <c r="F1895" s="1267"/>
      <c r="G1895" s="187" t="str">
        <f>'FORMATO PROPUESTA ECONÓMICA'!C61</f>
        <v>und</v>
      </c>
    </row>
    <row r="1896" spans="1:8" s="1088" customFormat="1" ht="14.25" x14ac:dyDescent="0.2">
      <c r="A1896" s="209"/>
      <c r="B1896" s="210"/>
      <c r="C1896" s="211"/>
      <c r="D1896" s="212"/>
      <c r="E1896" s="213"/>
      <c r="F1896" s="214"/>
      <c r="G1896" s="215"/>
    </row>
    <row r="1897" spans="1:8" s="1088" customFormat="1" ht="15" x14ac:dyDescent="0.25">
      <c r="A1897" s="216" t="s">
        <v>115</v>
      </c>
      <c r="B1897" s="212"/>
      <c r="C1897" s="211"/>
      <c r="D1897" s="212"/>
      <c r="E1897" s="213"/>
      <c r="F1897" s="214"/>
      <c r="G1897" s="215"/>
    </row>
    <row r="1898" spans="1:8" s="1088" customFormat="1" ht="14.25" x14ac:dyDescent="0.2">
      <c r="A1898" s="209"/>
      <c r="B1898" s="212"/>
      <c r="C1898" s="211"/>
      <c r="D1898" s="212"/>
      <c r="E1898" s="213"/>
      <c r="F1898" s="214"/>
      <c r="G1898" s="215"/>
    </row>
    <row r="1899" spans="1:8" s="1088" customFormat="1" ht="15" x14ac:dyDescent="0.25">
      <c r="A1899" s="1075" t="s">
        <v>116</v>
      </c>
      <c r="B1899" s="1076"/>
      <c r="C1899" s="217" t="s">
        <v>117</v>
      </c>
      <c r="D1899" s="1075" t="s">
        <v>118</v>
      </c>
      <c r="E1899" s="218" t="s">
        <v>39</v>
      </c>
      <c r="F1899" s="1075" t="s">
        <v>119</v>
      </c>
      <c r="G1899" s="219" t="s">
        <v>120</v>
      </c>
    </row>
    <row r="1900" spans="1:8" s="1088" customFormat="1" ht="15" customHeight="1" x14ac:dyDescent="0.2">
      <c r="A1900" s="209"/>
      <c r="B1900" s="286"/>
      <c r="C1900" s="220"/>
      <c r="D1900" s="261"/>
      <c r="E1900" s="276"/>
      <c r="F1900" s="222"/>
      <c r="G1900" s="224"/>
    </row>
    <row r="1901" spans="1:8" s="1088" customFormat="1" ht="14.25" x14ac:dyDescent="0.2">
      <c r="A1901" s="1254" t="str">
        <f>B1895</f>
        <v>S.T.C. de Tee partida 8"x4", inclyue Tornilleria y tuberia de nivelacion</v>
      </c>
      <c r="B1901" s="1255"/>
      <c r="C1901" s="225">
        <v>1</v>
      </c>
      <c r="D1901" s="221">
        <f>2765540*1.16</f>
        <v>3208026.4</v>
      </c>
      <c r="E1901" s="226">
        <v>1</v>
      </c>
      <c r="F1901" s="227"/>
      <c r="G1901" s="228">
        <f>D1901*E1901</f>
        <v>3208026.4</v>
      </c>
    </row>
    <row r="1902" spans="1:8" s="1088" customFormat="1" ht="14.25" x14ac:dyDescent="0.2">
      <c r="A1902" s="1060"/>
      <c r="B1902" s="1068"/>
      <c r="C1902" s="229"/>
      <c r="D1902" s="221"/>
      <c r="E1902" s="226"/>
      <c r="F1902" s="227"/>
      <c r="G1902" s="228">
        <f>D1902*E1902</f>
        <v>0</v>
      </c>
    </row>
    <row r="1903" spans="1:8" s="1088" customFormat="1" ht="14.25" x14ac:dyDescent="0.2">
      <c r="A1903" s="1060"/>
      <c r="B1903" s="1068"/>
      <c r="C1903" s="225"/>
      <c r="D1903" s="221"/>
      <c r="E1903" s="226"/>
      <c r="F1903" s="227"/>
      <c r="G1903" s="228">
        <f>D1903*E1903</f>
        <v>0</v>
      </c>
    </row>
    <row r="1904" spans="1:8" s="1088" customFormat="1" ht="14.25" x14ac:dyDescent="0.2">
      <c r="A1904" s="1069"/>
      <c r="B1904" s="1070"/>
      <c r="C1904" s="230"/>
      <c r="D1904" s="231"/>
      <c r="E1904" s="232"/>
      <c r="F1904" s="233"/>
      <c r="G1904" s="228">
        <f>D1904*E1904</f>
        <v>0</v>
      </c>
    </row>
    <row r="1905" spans="1:7" s="1088" customFormat="1" ht="15" x14ac:dyDescent="0.25">
      <c r="A1905" s="1073"/>
      <c r="B1905" s="210"/>
      <c r="C1905" s="211"/>
      <c r="D1905" s="212"/>
      <c r="E1905" s="212"/>
      <c r="F1905" s="234" t="s">
        <v>121</v>
      </c>
      <c r="G1905" s="231">
        <f>+SUM(G1900:G1904)</f>
        <v>3208026.4</v>
      </c>
    </row>
    <row r="1906" spans="1:7" s="1088" customFormat="1" ht="14.25" customHeight="1" x14ac:dyDescent="0.2">
      <c r="A1906" s="209"/>
      <c r="B1906" s="212"/>
      <c r="C1906" s="211" t="s">
        <v>123</v>
      </c>
      <c r="D1906" s="212"/>
      <c r="E1906" s="213"/>
      <c r="F1906" s="214"/>
      <c r="G1906" s="215"/>
    </row>
    <row r="1907" spans="1:7" s="1088" customFormat="1" ht="15" x14ac:dyDescent="0.25">
      <c r="A1907" s="216" t="s">
        <v>122</v>
      </c>
      <c r="B1907" s="212"/>
      <c r="C1907" s="211" t="s">
        <v>123</v>
      </c>
      <c r="D1907" s="212"/>
      <c r="E1907" s="213"/>
      <c r="F1907" s="214"/>
      <c r="G1907" s="215"/>
    </row>
    <row r="1908" spans="1:7" s="1088" customFormat="1" ht="14.25" x14ac:dyDescent="0.2">
      <c r="A1908" s="209"/>
      <c r="B1908" s="212"/>
      <c r="C1908" s="211"/>
      <c r="D1908" s="212"/>
      <c r="E1908" s="213"/>
      <c r="F1908" s="214"/>
      <c r="G1908" s="215"/>
    </row>
    <row r="1909" spans="1:7" s="1088" customFormat="1" ht="15" x14ac:dyDescent="0.25">
      <c r="A1909" s="1071" t="s">
        <v>116</v>
      </c>
      <c r="B1909" s="1072"/>
      <c r="C1909" s="235" t="s">
        <v>117</v>
      </c>
      <c r="D1909" s="236" t="s">
        <v>124</v>
      </c>
      <c r="E1909" s="236" t="s">
        <v>125</v>
      </c>
      <c r="F1909" s="237" t="s">
        <v>126</v>
      </c>
      <c r="G1909" s="238" t="s">
        <v>120</v>
      </c>
    </row>
    <row r="1910" spans="1:7" s="1088" customFormat="1" ht="28.5" x14ac:dyDescent="0.2">
      <c r="A1910" s="1066" t="s">
        <v>127</v>
      </c>
      <c r="B1910" s="1067"/>
      <c r="C1910" s="239" t="s">
        <v>128</v>
      </c>
      <c r="D1910" s="240"/>
      <c r="E1910" s="241"/>
      <c r="F1910" s="222"/>
      <c r="G1910" s="242">
        <f>G1924*0.05</f>
        <v>27711.991999999998</v>
      </c>
    </row>
    <row r="1911" spans="1:7" s="1088" customFormat="1" ht="14.25" x14ac:dyDescent="0.2">
      <c r="A1911" s="1073"/>
      <c r="B1911" s="1074"/>
      <c r="C1911" s="243"/>
      <c r="D1911" s="221"/>
      <c r="E1911" s="244"/>
      <c r="F1911" s="222"/>
      <c r="G1911" s="224"/>
    </row>
    <row r="1912" spans="1:7" s="1088" customFormat="1" ht="14.25" x14ac:dyDescent="0.2">
      <c r="A1912" s="1073"/>
      <c r="B1912" s="1074"/>
      <c r="C1912" s="243"/>
      <c r="D1912" s="221"/>
      <c r="E1912" s="244"/>
      <c r="F1912" s="222"/>
      <c r="G1912" s="224"/>
    </row>
    <row r="1913" spans="1:7" s="1088" customFormat="1" ht="14.25" x14ac:dyDescent="0.2">
      <c r="A1913" s="209"/>
      <c r="B1913" s="245"/>
      <c r="C1913" s="246"/>
      <c r="D1913" s="221"/>
      <c r="E1913" s="247"/>
      <c r="F1913" s="222"/>
      <c r="G1913" s="248"/>
    </row>
    <row r="1914" spans="1:7" s="1088" customFormat="1" ht="14.25" x14ac:dyDescent="0.2">
      <c r="A1914" s="249"/>
      <c r="B1914" s="250"/>
      <c r="C1914" s="251"/>
      <c r="D1914" s="252"/>
      <c r="E1914" s="253"/>
      <c r="F1914" s="254"/>
      <c r="G1914" s="255"/>
    </row>
    <row r="1915" spans="1:7" s="1088" customFormat="1" ht="15" x14ac:dyDescent="0.25">
      <c r="A1915" s="209"/>
      <c r="B1915" s="214"/>
      <c r="C1915" s="256"/>
      <c r="D1915" s="214"/>
      <c r="E1915" s="212"/>
      <c r="F1915" s="257" t="s">
        <v>121</v>
      </c>
      <c r="G1915" s="258">
        <f>+SUM(G1910:G1914)</f>
        <v>27711.991999999998</v>
      </c>
    </row>
    <row r="1916" spans="1:7" s="1088" customFormat="1" ht="14.25" x14ac:dyDescent="0.2">
      <c r="A1916" s="209"/>
      <c r="B1916" s="212"/>
      <c r="C1916" s="211"/>
      <c r="D1916" s="212"/>
      <c r="E1916" s="213"/>
      <c r="F1916" s="212"/>
      <c r="G1916" s="215"/>
    </row>
    <row r="1917" spans="1:7" s="1088" customFormat="1" ht="15" x14ac:dyDescent="0.25">
      <c r="A1917" s="216" t="s">
        <v>130</v>
      </c>
      <c r="B1917" s="212"/>
      <c r="C1917" s="211"/>
      <c r="D1917" s="212"/>
      <c r="E1917" s="213"/>
      <c r="F1917" s="214"/>
      <c r="G1917" s="215"/>
    </row>
    <row r="1918" spans="1:7" s="1088" customFormat="1" ht="14.25" x14ac:dyDescent="0.2">
      <c r="A1918" s="209"/>
      <c r="B1918" s="212"/>
      <c r="C1918" s="211"/>
      <c r="D1918" s="212"/>
      <c r="E1918" s="213"/>
      <c r="F1918" s="214"/>
      <c r="G1918" s="215"/>
    </row>
    <row r="1919" spans="1:7" s="1088" customFormat="1" ht="15" x14ac:dyDescent="0.25">
      <c r="A1919" s="1071" t="s">
        <v>116</v>
      </c>
      <c r="B1919" s="1072"/>
      <c r="C1919" s="236" t="s">
        <v>131</v>
      </c>
      <c r="D1919" s="235" t="s">
        <v>132</v>
      </c>
      <c r="E1919" s="236" t="s">
        <v>133</v>
      </c>
      <c r="F1919" s="237" t="s">
        <v>126</v>
      </c>
      <c r="G1919" s="238" t="s">
        <v>134</v>
      </c>
    </row>
    <row r="1920" spans="1:7" s="1088" customFormat="1" ht="14.25" x14ac:dyDescent="0.2">
      <c r="A1920" s="209" t="s">
        <v>10</v>
      </c>
      <c r="B1920" s="259"/>
      <c r="C1920" s="260">
        <f>M2</f>
        <v>22981.8</v>
      </c>
      <c r="D1920" s="261">
        <f>N2</f>
        <v>1.76</v>
      </c>
      <c r="E1920" s="276">
        <f>C1920*D1920</f>
        <v>40447.968000000001</v>
      </c>
      <c r="F1920" s="222">
        <v>5</v>
      </c>
      <c r="G1920" s="224">
        <f>F1920*E1920</f>
        <v>202239.84</v>
      </c>
    </row>
    <row r="1921" spans="1:7" s="1088" customFormat="1" ht="14.25" x14ac:dyDescent="0.2">
      <c r="A1921" s="209" t="s">
        <v>140</v>
      </c>
      <c r="B1921" s="259"/>
      <c r="C1921" s="260">
        <f>M3</f>
        <v>40000</v>
      </c>
      <c r="D1921" s="261">
        <f>N3</f>
        <v>1.76</v>
      </c>
      <c r="E1921" s="276">
        <f>C1921*D1921</f>
        <v>70400</v>
      </c>
      <c r="F1921" s="222">
        <v>5</v>
      </c>
      <c r="G1921" s="224">
        <f>F1921*E1921</f>
        <v>352000</v>
      </c>
    </row>
    <row r="1922" spans="1:7" s="1088" customFormat="1" ht="14.25" x14ac:dyDescent="0.2">
      <c r="A1922" s="209"/>
      <c r="B1922" s="245"/>
      <c r="C1922" s="265"/>
      <c r="D1922" s="246"/>
      <c r="E1922" s="265"/>
      <c r="F1922" s="266"/>
      <c r="G1922" s="267"/>
    </row>
    <row r="1923" spans="1:7" s="1088" customFormat="1" ht="14.25" x14ac:dyDescent="0.2">
      <c r="A1923" s="249"/>
      <c r="B1923" s="250"/>
      <c r="C1923" s="252"/>
      <c r="D1923" s="251"/>
      <c r="E1923" s="252"/>
      <c r="F1923" s="254"/>
      <c r="G1923" s="268"/>
    </row>
    <row r="1924" spans="1:7" s="1088" customFormat="1" ht="15" x14ac:dyDescent="0.25">
      <c r="A1924" s="209"/>
      <c r="B1924" s="212"/>
      <c r="C1924" s="211"/>
      <c r="D1924" s="212"/>
      <c r="E1924" s="269"/>
      <c r="F1924" s="269" t="s">
        <v>121</v>
      </c>
      <c r="G1924" s="270">
        <f>+SUM(G1920:G1923)</f>
        <v>554239.84</v>
      </c>
    </row>
    <row r="1925" spans="1:7" s="1088" customFormat="1" ht="15" x14ac:dyDescent="0.25">
      <c r="A1925" s="209"/>
      <c r="B1925" s="212"/>
      <c r="C1925" s="211"/>
      <c r="D1925" s="212"/>
      <c r="E1925" s="257"/>
      <c r="F1925" s="257"/>
      <c r="G1925" s="271"/>
    </row>
    <row r="1926" spans="1:7" s="1088" customFormat="1" ht="15" x14ac:dyDescent="0.25">
      <c r="A1926" s="216" t="s">
        <v>135</v>
      </c>
      <c r="B1926" s="212"/>
      <c r="C1926" s="211"/>
      <c r="D1926" s="212"/>
      <c r="E1926" s="213"/>
      <c r="F1926" s="214"/>
      <c r="G1926" s="215"/>
    </row>
    <row r="1927" spans="1:7" s="1088" customFormat="1" ht="14.25" x14ac:dyDescent="0.2">
      <c r="A1927" s="209"/>
      <c r="B1927" s="212"/>
      <c r="C1927" s="211"/>
      <c r="D1927" s="212"/>
      <c r="E1927" s="213"/>
      <c r="F1927" s="214"/>
      <c r="G1927" s="215"/>
    </row>
    <row r="1928" spans="1:7" s="1088" customFormat="1" ht="15" x14ac:dyDescent="0.25">
      <c r="A1928" s="1071" t="s">
        <v>116</v>
      </c>
      <c r="B1928" s="1072"/>
      <c r="C1928" s="236" t="s">
        <v>117</v>
      </c>
      <c r="D1928" s="235" t="s">
        <v>136</v>
      </c>
      <c r="E1928" s="236" t="s">
        <v>124</v>
      </c>
      <c r="F1928" s="237" t="s">
        <v>126</v>
      </c>
      <c r="G1928" s="238" t="s">
        <v>134</v>
      </c>
    </row>
    <row r="1929" spans="1:7" s="1088" customFormat="1" ht="14.25" x14ac:dyDescent="0.2">
      <c r="A1929" s="209" t="s">
        <v>175</v>
      </c>
      <c r="B1929" s="286"/>
      <c r="C1929" s="287" t="s">
        <v>79</v>
      </c>
      <c r="D1929" s="261"/>
      <c r="E1929" s="276">
        <v>68000</v>
      </c>
      <c r="F1929" s="222">
        <v>0.1</v>
      </c>
      <c r="G1929" s="224">
        <f>F1929*E1929</f>
        <v>6800</v>
      </c>
    </row>
    <row r="1930" spans="1:7" s="1088" customFormat="1" ht="14.25" x14ac:dyDescent="0.2">
      <c r="A1930" s="209"/>
      <c r="B1930" s="275"/>
      <c r="C1930" s="260"/>
      <c r="D1930" s="261"/>
      <c r="E1930" s="276"/>
      <c r="F1930" s="222"/>
      <c r="G1930" s="224"/>
    </row>
    <row r="1931" spans="1:7" s="1088" customFormat="1" ht="14.25" x14ac:dyDescent="0.2">
      <c r="A1931" s="209"/>
      <c r="B1931" s="259"/>
      <c r="C1931" s="260"/>
      <c r="D1931" s="261"/>
      <c r="E1931" s="276"/>
      <c r="F1931" s="222"/>
      <c r="G1931" s="224"/>
    </row>
    <row r="1932" spans="1:7" s="1088" customFormat="1" ht="14.25" x14ac:dyDescent="0.2">
      <c r="A1932" s="209"/>
      <c r="B1932" s="259"/>
      <c r="C1932" s="260"/>
      <c r="D1932" s="261"/>
      <c r="E1932" s="276"/>
      <c r="F1932" s="222"/>
      <c r="G1932" s="224"/>
    </row>
    <row r="1933" spans="1:7" s="1088" customFormat="1" ht="14.25" x14ac:dyDescent="0.2">
      <c r="A1933" s="209"/>
      <c r="B1933" s="245"/>
      <c r="C1933" s="265"/>
      <c r="D1933" s="246"/>
      <c r="E1933" s="265"/>
      <c r="F1933" s="266"/>
      <c r="G1933" s="267"/>
    </row>
    <row r="1934" spans="1:7" s="1088" customFormat="1" ht="14.25" x14ac:dyDescent="0.2">
      <c r="A1934" s="249"/>
      <c r="B1934" s="250"/>
      <c r="C1934" s="252"/>
      <c r="D1934" s="251"/>
      <c r="E1934" s="252"/>
      <c r="F1934" s="254"/>
      <c r="G1934" s="268"/>
    </row>
    <row r="1935" spans="1:7" s="1088" customFormat="1" ht="15" x14ac:dyDescent="0.25">
      <c r="A1935" s="209"/>
      <c r="B1935" s="212"/>
      <c r="C1935" s="211"/>
      <c r="D1935" s="212"/>
      <c r="E1935" s="269"/>
      <c r="F1935" s="269" t="s">
        <v>121</v>
      </c>
      <c r="G1935" s="270">
        <f>+SUM(G1929:G1934)</f>
        <v>6800</v>
      </c>
    </row>
    <row r="1936" spans="1:7" s="1088" customFormat="1" ht="14.25" x14ac:dyDescent="0.2">
      <c r="A1936" s="209"/>
      <c r="B1936" s="212"/>
      <c r="C1936" s="211"/>
      <c r="D1936" s="212"/>
      <c r="E1936" s="213"/>
      <c r="F1936" s="214"/>
      <c r="G1936" s="271"/>
    </row>
    <row r="1937" spans="1:8" s="1088" customFormat="1" ht="15" x14ac:dyDescent="0.25">
      <c r="A1937" s="277"/>
      <c r="B1937" s="278"/>
      <c r="C1937" s="278"/>
      <c r="D1937" s="278"/>
      <c r="E1937" s="279"/>
      <c r="F1937" s="280" t="s">
        <v>137</v>
      </c>
      <c r="G1937" s="283">
        <f>+ROUND(G1905+G1915+G1924+G1935,0)</f>
        <v>3796778</v>
      </c>
    </row>
    <row r="1938" spans="1:8" s="1088" customFormat="1" ht="15" x14ac:dyDescent="0.25">
      <c r="A1938" s="209"/>
      <c r="B1938" s="212"/>
      <c r="C1938" s="212"/>
      <c r="D1938" s="212"/>
      <c r="E1938" s="211"/>
      <c r="F1938" s="257"/>
      <c r="G1938" s="257"/>
      <c r="H1938" s="257"/>
    </row>
    <row r="1939" spans="1:8" s="1088" customFormat="1" ht="15" x14ac:dyDescent="0.25">
      <c r="A1939" s="145" t="s">
        <v>160</v>
      </c>
      <c r="B1939" s="1262" t="s">
        <v>161</v>
      </c>
      <c r="C1939" s="1263"/>
      <c r="D1939" s="1263"/>
      <c r="E1939" s="1263"/>
      <c r="F1939" s="1264"/>
      <c r="G1939" s="146" t="s">
        <v>2</v>
      </c>
    </row>
    <row r="1940" spans="1:8" s="1088" customFormat="1" ht="15" x14ac:dyDescent="0.25">
      <c r="A1940" s="208">
        <f>'FORMATO PROPUESTA ECONÓMICA'!A63</f>
        <v>7.1</v>
      </c>
      <c r="B1940" s="1265" t="str">
        <f>'FORMATO PROPUESTA ECONÓMICA'!B63</f>
        <v>Tubería polietileno PN 10 d=20 mm, 140 PSI x 150 metros</v>
      </c>
      <c r="C1940" s="1266"/>
      <c r="D1940" s="1266"/>
      <c r="E1940" s="1266"/>
      <c r="F1940" s="1267"/>
      <c r="G1940" s="187" t="str">
        <f>'FORMATO PROPUESTA ECONÓMICA'!C63</f>
        <v>m</v>
      </c>
    </row>
    <row r="1941" spans="1:8" s="1088" customFormat="1" ht="14.25" x14ac:dyDescent="0.2">
      <c r="A1941" s="209"/>
      <c r="B1941" s="210"/>
      <c r="C1941" s="211"/>
      <c r="D1941" s="212"/>
      <c r="E1941" s="213"/>
      <c r="F1941" s="214"/>
      <c r="G1941" s="215"/>
    </row>
    <row r="1942" spans="1:8" s="1088" customFormat="1" ht="15" x14ac:dyDescent="0.25">
      <c r="A1942" s="216" t="s">
        <v>115</v>
      </c>
      <c r="B1942" s="212"/>
      <c r="C1942" s="211"/>
      <c r="D1942" s="212"/>
      <c r="E1942" s="213"/>
      <c r="F1942" s="214"/>
      <c r="G1942" s="215"/>
    </row>
    <row r="1943" spans="1:8" s="1088" customFormat="1" ht="14.25" x14ac:dyDescent="0.2">
      <c r="A1943" s="209"/>
      <c r="B1943" s="212"/>
      <c r="C1943" s="211"/>
      <c r="D1943" s="212"/>
      <c r="E1943" s="213"/>
      <c r="F1943" s="214"/>
      <c r="G1943" s="215"/>
    </row>
    <row r="1944" spans="1:8" s="1088" customFormat="1" ht="15" x14ac:dyDescent="0.25">
      <c r="A1944" s="1075" t="s">
        <v>116</v>
      </c>
      <c r="B1944" s="1076"/>
      <c r="C1944" s="217" t="s">
        <v>117</v>
      </c>
      <c r="D1944" s="1075" t="s">
        <v>118</v>
      </c>
      <c r="E1944" s="218" t="s">
        <v>39</v>
      </c>
      <c r="F1944" s="237" t="s">
        <v>126</v>
      </c>
      <c r="G1944" s="219" t="s">
        <v>120</v>
      </c>
    </row>
    <row r="1945" spans="1:8" s="1088" customFormat="1" ht="15" customHeight="1" x14ac:dyDescent="0.2">
      <c r="A1945" s="209" t="s">
        <v>174</v>
      </c>
      <c r="B1945" s="286"/>
      <c r="C1945" s="220">
        <v>1</v>
      </c>
      <c r="D1945" s="261"/>
      <c r="E1945" s="276">
        <v>1</v>
      </c>
      <c r="F1945" s="222">
        <v>1</v>
      </c>
      <c r="G1945" s="224">
        <f>D1945/E1945/F1945</f>
        <v>0</v>
      </c>
    </row>
    <row r="1946" spans="1:8" s="1088" customFormat="1" ht="14.25" x14ac:dyDescent="0.2">
      <c r="A1946" s="1060"/>
      <c r="B1946" s="1068"/>
      <c r="C1946" s="225"/>
      <c r="D1946" s="221"/>
      <c r="E1946" s="226"/>
      <c r="F1946" s="227"/>
      <c r="G1946" s="228">
        <f>D1946*E1946</f>
        <v>0</v>
      </c>
    </row>
    <row r="1947" spans="1:8" s="1088" customFormat="1" ht="14.25" x14ac:dyDescent="0.2">
      <c r="A1947" s="1060"/>
      <c r="B1947" s="1068"/>
      <c r="C1947" s="229"/>
      <c r="D1947" s="221"/>
      <c r="E1947" s="226"/>
      <c r="F1947" s="227"/>
      <c r="G1947" s="228">
        <f>D1947*E1947</f>
        <v>0</v>
      </c>
    </row>
    <row r="1948" spans="1:8" s="1088" customFormat="1" ht="14.25" x14ac:dyDescent="0.2">
      <c r="A1948" s="1060"/>
      <c r="B1948" s="1068"/>
      <c r="C1948" s="225"/>
      <c r="D1948" s="221"/>
      <c r="E1948" s="226"/>
      <c r="F1948" s="227"/>
      <c r="G1948" s="228">
        <f>D1948*E1948</f>
        <v>0</v>
      </c>
    </row>
    <row r="1949" spans="1:8" s="1088" customFormat="1" ht="14.25" x14ac:dyDescent="0.2">
      <c r="A1949" s="1069"/>
      <c r="B1949" s="1070"/>
      <c r="C1949" s="230"/>
      <c r="D1949" s="231"/>
      <c r="E1949" s="232"/>
      <c r="F1949" s="233"/>
      <c r="G1949" s="228">
        <f>D1949*E1949</f>
        <v>0</v>
      </c>
    </row>
    <row r="1950" spans="1:8" s="1088" customFormat="1" ht="15" x14ac:dyDescent="0.25">
      <c r="A1950" s="1073"/>
      <c r="B1950" s="210"/>
      <c r="C1950" s="211"/>
      <c r="D1950" s="212"/>
      <c r="E1950" s="212"/>
      <c r="F1950" s="234" t="s">
        <v>121</v>
      </c>
      <c r="G1950" s="231">
        <f>+SUM(G1945:G1949)</f>
        <v>0</v>
      </c>
    </row>
    <row r="1951" spans="1:8" s="1088" customFormat="1" ht="14.25" customHeight="1" x14ac:dyDescent="0.2">
      <c r="A1951" s="209"/>
      <c r="B1951" s="212"/>
      <c r="C1951" s="211" t="s">
        <v>123</v>
      </c>
      <c r="D1951" s="212"/>
      <c r="E1951" s="213"/>
      <c r="F1951" s="214"/>
      <c r="G1951" s="215"/>
    </row>
    <row r="1952" spans="1:8" s="1088" customFormat="1" ht="15" x14ac:dyDescent="0.25">
      <c r="A1952" s="216" t="s">
        <v>122</v>
      </c>
      <c r="B1952" s="212"/>
      <c r="C1952" s="211" t="s">
        <v>123</v>
      </c>
      <c r="D1952" s="212"/>
      <c r="E1952" s="213"/>
      <c r="F1952" s="214"/>
      <c r="G1952" s="215"/>
    </row>
    <row r="1953" spans="1:7" s="1088" customFormat="1" ht="14.25" x14ac:dyDescent="0.2">
      <c r="A1953" s="209"/>
      <c r="B1953" s="212"/>
      <c r="C1953" s="211"/>
      <c r="D1953" s="212"/>
      <c r="E1953" s="213"/>
      <c r="F1953" s="214"/>
      <c r="G1953" s="215"/>
    </row>
    <row r="1954" spans="1:7" s="1088" customFormat="1" ht="15" x14ac:dyDescent="0.25">
      <c r="A1954" s="1071" t="s">
        <v>116</v>
      </c>
      <c r="B1954" s="1072"/>
      <c r="C1954" s="235" t="s">
        <v>117</v>
      </c>
      <c r="D1954" s="236" t="s">
        <v>124</v>
      </c>
      <c r="E1954" s="236" t="s">
        <v>125</v>
      </c>
      <c r="F1954" s="237" t="s">
        <v>126</v>
      </c>
      <c r="G1954" s="238" t="s">
        <v>120</v>
      </c>
    </row>
    <row r="1955" spans="1:7" s="1088" customFormat="1" ht="28.5" x14ac:dyDescent="0.2">
      <c r="A1955" s="1066" t="s">
        <v>127</v>
      </c>
      <c r="B1955" s="1067"/>
      <c r="C1955" s="239" t="s">
        <v>128</v>
      </c>
      <c r="D1955" s="240"/>
      <c r="E1955" s="241"/>
      <c r="F1955" s="222"/>
      <c r="G1955" s="242">
        <f>G1969*0.05</f>
        <v>101.11992000000001</v>
      </c>
    </row>
    <row r="1956" spans="1:7" s="1088" customFormat="1" ht="14.25" x14ac:dyDescent="0.2">
      <c r="A1956" s="1073"/>
      <c r="B1956" s="1074"/>
      <c r="C1956" s="243"/>
      <c r="D1956" s="221"/>
      <c r="E1956" s="244"/>
      <c r="F1956" s="222"/>
      <c r="G1956" s="224"/>
    </row>
    <row r="1957" spans="1:7" s="1088" customFormat="1" ht="14.25" x14ac:dyDescent="0.2">
      <c r="A1957" s="1073"/>
      <c r="B1957" s="1074"/>
      <c r="C1957" s="243"/>
      <c r="D1957" s="221"/>
      <c r="E1957" s="244"/>
      <c r="F1957" s="222"/>
      <c r="G1957" s="224"/>
    </row>
    <row r="1958" spans="1:7" s="1088" customFormat="1" ht="14.25" x14ac:dyDescent="0.2">
      <c r="A1958" s="209"/>
      <c r="B1958" s="245"/>
      <c r="C1958" s="246"/>
      <c r="D1958" s="221"/>
      <c r="E1958" s="247"/>
      <c r="F1958" s="222"/>
      <c r="G1958" s="248"/>
    </row>
    <row r="1959" spans="1:7" s="1088" customFormat="1" ht="14.25" x14ac:dyDescent="0.2">
      <c r="A1959" s="249"/>
      <c r="B1959" s="250"/>
      <c r="C1959" s="251"/>
      <c r="D1959" s="252"/>
      <c r="E1959" s="253"/>
      <c r="F1959" s="254"/>
      <c r="G1959" s="255"/>
    </row>
    <row r="1960" spans="1:7" s="1088" customFormat="1" ht="15" x14ac:dyDescent="0.25">
      <c r="A1960" s="209"/>
      <c r="B1960" s="214"/>
      <c r="C1960" s="256"/>
      <c r="D1960" s="214"/>
      <c r="E1960" s="212"/>
      <c r="F1960" s="257" t="s">
        <v>121</v>
      </c>
      <c r="G1960" s="258">
        <f>+SUM(G1955:G1959)</f>
        <v>101.11992000000001</v>
      </c>
    </row>
    <row r="1961" spans="1:7" s="1088" customFormat="1" ht="14.25" x14ac:dyDescent="0.2">
      <c r="A1961" s="209"/>
      <c r="B1961" s="212"/>
      <c r="C1961" s="211"/>
      <c r="D1961" s="212"/>
      <c r="E1961" s="213"/>
      <c r="F1961" s="212"/>
      <c r="G1961" s="215"/>
    </row>
    <row r="1962" spans="1:7" s="1088" customFormat="1" ht="15" x14ac:dyDescent="0.25">
      <c r="A1962" s="216" t="s">
        <v>130</v>
      </c>
      <c r="B1962" s="212"/>
      <c r="C1962" s="211"/>
      <c r="D1962" s="212"/>
      <c r="E1962" s="213"/>
      <c r="F1962" s="214"/>
      <c r="G1962" s="215"/>
    </row>
    <row r="1963" spans="1:7" s="1088" customFormat="1" ht="14.25" x14ac:dyDescent="0.2">
      <c r="A1963" s="209"/>
      <c r="B1963" s="212"/>
      <c r="C1963" s="211"/>
      <c r="D1963" s="212"/>
      <c r="E1963" s="213"/>
      <c r="F1963" s="214"/>
      <c r="G1963" s="215"/>
    </row>
    <row r="1964" spans="1:7" s="1088" customFormat="1" ht="15" x14ac:dyDescent="0.25">
      <c r="A1964" s="1071" t="s">
        <v>116</v>
      </c>
      <c r="B1964" s="1072"/>
      <c r="C1964" s="236" t="s">
        <v>131</v>
      </c>
      <c r="D1964" s="235" t="s">
        <v>132</v>
      </c>
      <c r="E1964" s="236" t="s">
        <v>133</v>
      </c>
      <c r="F1964" s="237" t="s">
        <v>126</v>
      </c>
      <c r="G1964" s="238" t="s">
        <v>134</v>
      </c>
    </row>
    <row r="1965" spans="1:7" s="1088" customFormat="1" ht="14.25" x14ac:dyDescent="0.2">
      <c r="A1965" s="209" t="s">
        <v>10</v>
      </c>
      <c r="B1965" s="259"/>
      <c r="C1965" s="260">
        <f>M2</f>
        <v>22981.8</v>
      </c>
      <c r="D1965" s="261">
        <f>N2</f>
        <v>1.76</v>
      </c>
      <c r="E1965" s="276">
        <f>C1965*D1965</f>
        <v>40447.968000000001</v>
      </c>
      <c r="F1965" s="222">
        <f>1/20</f>
        <v>0.05</v>
      </c>
      <c r="G1965" s="224">
        <f>F1965*E1965</f>
        <v>2022.3984</v>
      </c>
    </row>
    <row r="1966" spans="1:7" s="1088" customFormat="1" ht="14.25" x14ac:dyDescent="0.2">
      <c r="A1966" s="209"/>
      <c r="B1966" s="259"/>
      <c r="C1966" s="260"/>
      <c r="D1966" s="261"/>
      <c r="E1966" s="276"/>
      <c r="F1966" s="222"/>
      <c r="G1966" s="224">
        <f>F1966*E1966</f>
        <v>0</v>
      </c>
    </row>
    <row r="1967" spans="1:7" s="1088" customFormat="1" ht="14.25" x14ac:dyDescent="0.2">
      <c r="A1967" s="209"/>
      <c r="B1967" s="245"/>
      <c r="C1967" s="265"/>
      <c r="D1967" s="246"/>
      <c r="E1967" s="265"/>
      <c r="F1967" s="266"/>
      <c r="G1967" s="267"/>
    </row>
    <row r="1968" spans="1:7" s="1088" customFormat="1" ht="14.25" x14ac:dyDescent="0.2">
      <c r="A1968" s="249"/>
      <c r="B1968" s="250"/>
      <c r="C1968" s="252"/>
      <c r="D1968" s="251"/>
      <c r="E1968" s="252"/>
      <c r="F1968" s="254"/>
      <c r="G1968" s="268"/>
    </row>
    <row r="1969" spans="1:7" s="1088" customFormat="1" ht="15" x14ac:dyDescent="0.25">
      <c r="A1969" s="209"/>
      <c r="B1969" s="212"/>
      <c r="C1969" s="211"/>
      <c r="D1969" s="212"/>
      <c r="E1969" s="269"/>
      <c r="F1969" s="269" t="s">
        <v>121</v>
      </c>
      <c r="G1969" s="270">
        <f>+SUM(G1965:G1968)</f>
        <v>2022.3984</v>
      </c>
    </row>
    <row r="1970" spans="1:7" s="1088" customFormat="1" ht="15" x14ac:dyDescent="0.25">
      <c r="A1970" s="209"/>
      <c r="B1970" s="212"/>
      <c r="C1970" s="211"/>
      <c r="D1970" s="212"/>
      <c r="E1970" s="257"/>
      <c r="F1970" s="257"/>
      <c r="G1970" s="271"/>
    </row>
    <row r="1971" spans="1:7" s="1088" customFormat="1" ht="15" x14ac:dyDescent="0.25">
      <c r="A1971" s="216" t="s">
        <v>135</v>
      </c>
      <c r="B1971" s="212"/>
      <c r="C1971" s="211"/>
      <c r="D1971" s="212"/>
      <c r="E1971" s="213"/>
      <c r="F1971" s="214"/>
      <c r="G1971" s="215"/>
    </row>
    <row r="1972" spans="1:7" s="1088" customFormat="1" ht="14.25" x14ac:dyDescent="0.2">
      <c r="A1972" s="209"/>
      <c r="B1972" s="212"/>
      <c r="C1972" s="211"/>
      <c r="D1972" s="212"/>
      <c r="E1972" s="213"/>
      <c r="F1972" s="214"/>
      <c r="G1972" s="215"/>
    </row>
    <row r="1973" spans="1:7" s="1088" customFormat="1" ht="15" x14ac:dyDescent="0.25">
      <c r="A1973" s="1071" t="s">
        <v>116</v>
      </c>
      <c r="B1973" s="1072"/>
      <c r="C1973" s="236" t="s">
        <v>117</v>
      </c>
      <c r="D1973" s="235" t="s">
        <v>136</v>
      </c>
      <c r="E1973" s="236" t="s">
        <v>124</v>
      </c>
      <c r="F1973" s="237" t="s">
        <v>126</v>
      </c>
      <c r="G1973" s="238" t="s">
        <v>134</v>
      </c>
    </row>
    <row r="1974" spans="1:7" s="1088" customFormat="1" ht="14.25" x14ac:dyDescent="0.2">
      <c r="A1974" s="209" t="s">
        <v>175</v>
      </c>
      <c r="B1974" s="286"/>
      <c r="C1974" s="287" t="s">
        <v>79</v>
      </c>
      <c r="D1974" s="261"/>
      <c r="E1974" s="276">
        <v>68000</v>
      </c>
      <c r="F1974" s="222">
        <f>1/80</f>
        <v>1.2500000000000001E-2</v>
      </c>
      <c r="G1974" s="224">
        <f>F1974*E1974</f>
        <v>850</v>
      </c>
    </row>
    <row r="1975" spans="1:7" s="1088" customFormat="1" ht="14.25" x14ac:dyDescent="0.2">
      <c r="A1975" s="209"/>
      <c r="B1975" s="275"/>
      <c r="C1975" s="260"/>
      <c r="D1975" s="261"/>
      <c r="E1975" s="276"/>
      <c r="F1975" s="222"/>
      <c r="G1975" s="224"/>
    </row>
    <row r="1976" spans="1:7" s="1088" customFormat="1" ht="14.25" x14ac:dyDescent="0.2">
      <c r="A1976" s="209"/>
      <c r="B1976" s="259"/>
      <c r="C1976" s="260"/>
      <c r="D1976" s="261"/>
      <c r="E1976" s="276"/>
      <c r="F1976" s="222"/>
      <c r="G1976" s="224"/>
    </row>
    <row r="1977" spans="1:7" s="1088" customFormat="1" ht="14.25" x14ac:dyDescent="0.2">
      <c r="A1977" s="209"/>
      <c r="B1977" s="259"/>
      <c r="C1977" s="260"/>
      <c r="D1977" s="261"/>
      <c r="E1977" s="276"/>
      <c r="F1977" s="222"/>
      <c r="G1977" s="224"/>
    </row>
    <row r="1978" spans="1:7" s="1088" customFormat="1" ht="14.25" x14ac:dyDescent="0.2">
      <c r="A1978" s="209"/>
      <c r="B1978" s="245"/>
      <c r="C1978" s="265"/>
      <c r="D1978" s="246"/>
      <c r="E1978" s="265"/>
      <c r="F1978" s="266"/>
      <c r="G1978" s="267"/>
    </row>
    <row r="1979" spans="1:7" s="1088" customFormat="1" ht="14.25" x14ac:dyDescent="0.2">
      <c r="A1979" s="249"/>
      <c r="B1979" s="250"/>
      <c r="C1979" s="252"/>
      <c r="D1979" s="251"/>
      <c r="E1979" s="252"/>
      <c r="F1979" s="254"/>
      <c r="G1979" s="268"/>
    </row>
    <row r="1980" spans="1:7" s="1088" customFormat="1" ht="15" x14ac:dyDescent="0.25">
      <c r="A1980" s="209"/>
      <c r="B1980" s="212"/>
      <c r="C1980" s="211"/>
      <c r="D1980" s="212"/>
      <c r="E1980" s="269"/>
      <c r="F1980" s="269" t="s">
        <v>121</v>
      </c>
      <c r="G1980" s="270">
        <f>+SUM(G1974:G1979)</f>
        <v>850</v>
      </c>
    </row>
    <row r="1981" spans="1:7" s="1088" customFormat="1" ht="14.25" x14ac:dyDescent="0.2">
      <c r="A1981" s="209"/>
      <c r="B1981" s="212"/>
      <c r="C1981" s="211"/>
      <c r="D1981" s="212"/>
      <c r="E1981" s="213"/>
      <c r="F1981" s="214"/>
      <c r="G1981" s="271"/>
    </row>
    <row r="1982" spans="1:7" s="1088" customFormat="1" ht="15" x14ac:dyDescent="0.25">
      <c r="A1982" s="277"/>
      <c r="B1982" s="278"/>
      <c r="C1982" s="278"/>
      <c r="D1982" s="278"/>
      <c r="E1982" s="279"/>
      <c r="F1982" s="280" t="s">
        <v>137</v>
      </c>
      <c r="G1982" s="283">
        <f>+ROUND(G1950+G1960+G1969+G1980,2)</f>
        <v>2973.52</v>
      </c>
    </row>
    <row r="1983" spans="1:7" s="1088" customFormat="1" ht="15" x14ac:dyDescent="0.25">
      <c r="A1983" s="209"/>
      <c r="B1983" s="212"/>
      <c r="C1983" s="212"/>
      <c r="D1983" s="212"/>
      <c r="E1983" s="211"/>
      <c r="F1983" s="257"/>
      <c r="G1983" s="257"/>
    </row>
    <row r="1984" spans="1:7" s="1088" customFormat="1" ht="15" x14ac:dyDescent="0.25">
      <c r="A1984" s="145" t="s">
        <v>160</v>
      </c>
      <c r="B1984" s="1262" t="s">
        <v>161</v>
      </c>
      <c r="C1984" s="1263"/>
      <c r="D1984" s="1263"/>
      <c r="E1984" s="1263"/>
      <c r="F1984" s="1264"/>
      <c r="G1984" s="146" t="s">
        <v>2</v>
      </c>
    </row>
    <row r="1985" spans="1:7" s="1088" customFormat="1" ht="15" x14ac:dyDescent="0.25">
      <c r="A1985" s="208">
        <f>'FORMATO PROPUESTA ECONÓMICA'!A64</f>
        <v>7.2</v>
      </c>
      <c r="B1985" s="1265" t="str">
        <f>'FORMATO PROPUESTA ECONÓMICA'!B64</f>
        <v>Tubería polietileno PN 10 d=25 mm, 140 PSI x 150 metros</v>
      </c>
      <c r="C1985" s="1266"/>
      <c r="D1985" s="1266"/>
      <c r="E1985" s="1266"/>
      <c r="F1985" s="1267"/>
      <c r="G1985" s="187" t="str">
        <f>'FORMATO PROPUESTA ECONÓMICA'!C64</f>
        <v>m</v>
      </c>
    </row>
    <row r="1986" spans="1:7" s="1088" customFormat="1" ht="14.25" x14ac:dyDescent="0.2">
      <c r="A1986" s="209"/>
      <c r="B1986" s="210"/>
      <c r="C1986" s="211"/>
      <c r="D1986" s="212"/>
      <c r="E1986" s="213"/>
      <c r="F1986" s="214"/>
      <c r="G1986" s="215"/>
    </row>
    <row r="1987" spans="1:7" s="1088" customFormat="1" ht="15" x14ac:dyDescent="0.25">
      <c r="A1987" s="216" t="s">
        <v>115</v>
      </c>
      <c r="B1987" s="212"/>
      <c r="C1987" s="211"/>
      <c r="D1987" s="212"/>
      <c r="E1987" s="213"/>
      <c r="F1987" s="214"/>
      <c r="G1987" s="215"/>
    </row>
    <row r="1988" spans="1:7" s="1088" customFormat="1" ht="14.25" x14ac:dyDescent="0.2">
      <c r="A1988" s="209"/>
      <c r="B1988" s="212"/>
      <c r="C1988" s="211"/>
      <c r="D1988" s="212"/>
      <c r="E1988" s="213"/>
      <c r="F1988" s="214"/>
      <c r="G1988" s="215"/>
    </row>
    <row r="1989" spans="1:7" s="1088" customFormat="1" ht="15" x14ac:dyDescent="0.25">
      <c r="A1989" s="1075" t="s">
        <v>116</v>
      </c>
      <c r="B1989" s="1076"/>
      <c r="C1989" s="217" t="s">
        <v>117</v>
      </c>
      <c r="D1989" s="1075" t="s">
        <v>118</v>
      </c>
      <c r="E1989" s="218" t="s">
        <v>39</v>
      </c>
      <c r="F1989" s="237" t="s">
        <v>126</v>
      </c>
      <c r="G1989" s="219" t="s">
        <v>120</v>
      </c>
    </row>
    <row r="1990" spans="1:7" s="1088" customFormat="1" ht="15" customHeight="1" x14ac:dyDescent="0.2">
      <c r="A1990" s="209"/>
      <c r="B1990" s="286"/>
      <c r="C1990" s="220"/>
      <c r="D1990" s="261"/>
      <c r="E1990" s="276">
        <v>1</v>
      </c>
      <c r="F1990" s="222">
        <v>1</v>
      </c>
      <c r="G1990" s="224">
        <f>D1990/E1990</f>
        <v>0</v>
      </c>
    </row>
    <row r="1991" spans="1:7" s="1088" customFormat="1" ht="14.25" x14ac:dyDescent="0.2">
      <c r="A1991" s="1060"/>
      <c r="B1991" s="1068"/>
      <c r="C1991" s="225"/>
      <c r="D1991" s="221"/>
      <c r="E1991" s="226"/>
      <c r="F1991" s="227"/>
      <c r="G1991" s="228">
        <f>D1991*E1991</f>
        <v>0</v>
      </c>
    </row>
    <row r="1992" spans="1:7" s="1088" customFormat="1" ht="14.25" x14ac:dyDescent="0.2">
      <c r="A1992" s="1060"/>
      <c r="B1992" s="1068"/>
      <c r="C1992" s="229"/>
      <c r="D1992" s="221"/>
      <c r="E1992" s="226"/>
      <c r="F1992" s="227"/>
      <c r="G1992" s="228">
        <f>D1992*E1992</f>
        <v>0</v>
      </c>
    </row>
    <row r="1993" spans="1:7" s="1088" customFormat="1" ht="14.25" x14ac:dyDescent="0.2">
      <c r="A1993" s="1060"/>
      <c r="B1993" s="1068"/>
      <c r="C1993" s="225"/>
      <c r="D1993" s="221"/>
      <c r="E1993" s="226"/>
      <c r="F1993" s="227"/>
      <c r="G1993" s="228">
        <f>D1993*E1993</f>
        <v>0</v>
      </c>
    </row>
    <row r="1994" spans="1:7" s="1088" customFormat="1" ht="14.25" x14ac:dyDescent="0.2">
      <c r="A1994" s="1069"/>
      <c r="B1994" s="1070"/>
      <c r="C1994" s="230"/>
      <c r="D1994" s="231"/>
      <c r="E1994" s="232"/>
      <c r="F1994" s="233"/>
      <c r="G1994" s="228">
        <f>D1994*E1994</f>
        <v>0</v>
      </c>
    </row>
    <row r="1995" spans="1:7" s="1088" customFormat="1" ht="15" x14ac:dyDescent="0.25">
      <c r="A1995" s="1073"/>
      <c r="B1995" s="210"/>
      <c r="C1995" s="211"/>
      <c r="D1995" s="212"/>
      <c r="E1995" s="212"/>
      <c r="F1995" s="234" t="s">
        <v>121</v>
      </c>
      <c r="G1995" s="231">
        <f>+SUM(G1990:G1994)</f>
        <v>0</v>
      </c>
    </row>
    <row r="1996" spans="1:7" s="1088" customFormat="1" ht="14.25" customHeight="1" x14ac:dyDescent="0.2">
      <c r="A1996" s="209"/>
      <c r="B1996" s="212"/>
      <c r="C1996" s="211" t="s">
        <v>123</v>
      </c>
      <c r="D1996" s="212"/>
      <c r="E1996" s="213"/>
      <c r="F1996" s="214"/>
      <c r="G1996" s="215"/>
    </row>
    <row r="1997" spans="1:7" s="1088" customFormat="1" ht="15" x14ac:dyDescent="0.25">
      <c r="A1997" s="216" t="s">
        <v>122</v>
      </c>
      <c r="B1997" s="212"/>
      <c r="C1997" s="211" t="s">
        <v>123</v>
      </c>
      <c r="D1997" s="212"/>
      <c r="E1997" s="213"/>
      <c r="F1997" s="214"/>
      <c r="G1997" s="215"/>
    </row>
    <row r="1998" spans="1:7" s="1088" customFormat="1" ht="14.25" x14ac:dyDescent="0.2">
      <c r="A1998" s="209"/>
      <c r="B1998" s="212"/>
      <c r="C1998" s="211"/>
      <c r="D1998" s="212"/>
      <c r="E1998" s="213"/>
      <c r="F1998" s="214"/>
      <c r="G1998" s="215"/>
    </row>
    <row r="1999" spans="1:7" s="1088" customFormat="1" ht="15" x14ac:dyDescent="0.25">
      <c r="A1999" s="1071" t="s">
        <v>116</v>
      </c>
      <c r="B1999" s="1072"/>
      <c r="C1999" s="235" t="s">
        <v>117</v>
      </c>
      <c r="D1999" s="236" t="s">
        <v>124</v>
      </c>
      <c r="E1999" s="236" t="s">
        <v>125</v>
      </c>
      <c r="F1999" s="237" t="s">
        <v>126</v>
      </c>
      <c r="G1999" s="238" t="s">
        <v>120</v>
      </c>
    </row>
    <row r="2000" spans="1:7" s="1088" customFormat="1" ht="28.5" x14ac:dyDescent="0.2">
      <c r="A2000" s="1066" t="s">
        <v>127</v>
      </c>
      <c r="B2000" s="1067"/>
      <c r="C2000" s="239" t="s">
        <v>128</v>
      </c>
      <c r="D2000" s="240"/>
      <c r="E2000" s="241"/>
      <c r="F2000" s="222"/>
      <c r="G2000" s="242">
        <f>G2014*0.05</f>
        <v>101.11992000000001</v>
      </c>
    </row>
    <row r="2001" spans="1:7" s="1088" customFormat="1" ht="14.25" x14ac:dyDescent="0.2">
      <c r="A2001" s="1073"/>
      <c r="B2001" s="1074"/>
      <c r="C2001" s="243"/>
      <c r="D2001" s="221"/>
      <c r="E2001" s="244"/>
      <c r="F2001" s="222"/>
      <c r="G2001" s="224"/>
    </row>
    <row r="2002" spans="1:7" s="1088" customFormat="1" ht="14.25" x14ac:dyDescent="0.2">
      <c r="A2002" s="1073"/>
      <c r="B2002" s="1074"/>
      <c r="C2002" s="243"/>
      <c r="D2002" s="221"/>
      <c r="E2002" s="244"/>
      <c r="F2002" s="222"/>
      <c r="G2002" s="224"/>
    </row>
    <row r="2003" spans="1:7" s="1088" customFormat="1" ht="14.25" x14ac:dyDescent="0.2">
      <c r="A2003" s="209"/>
      <c r="B2003" s="245"/>
      <c r="C2003" s="246"/>
      <c r="D2003" s="221"/>
      <c r="E2003" s="247"/>
      <c r="F2003" s="222"/>
      <c r="G2003" s="248"/>
    </row>
    <row r="2004" spans="1:7" s="1088" customFormat="1" ht="14.25" x14ac:dyDescent="0.2">
      <c r="A2004" s="249"/>
      <c r="B2004" s="250"/>
      <c r="C2004" s="251"/>
      <c r="D2004" s="252"/>
      <c r="E2004" s="253"/>
      <c r="F2004" s="254"/>
      <c r="G2004" s="255"/>
    </row>
    <row r="2005" spans="1:7" s="1088" customFormat="1" ht="15" x14ac:dyDescent="0.25">
      <c r="A2005" s="209"/>
      <c r="B2005" s="214"/>
      <c r="C2005" s="256"/>
      <c r="D2005" s="214"/>
      <c r="E2005" s="212"/>
      <c r="F2005" s="257" t="s">
        <v>121</v>
      </c>
      <c r="G2005" s="258">
        <f>+SUM(G2000:G2004)</f>
        <v>101.11992000000001</v>
      </c>
    </row>
    <row r="2006" spans="1:7" s="1088" customFormat="1" ht="14.25" x14ac:dyDescent="0.2">
      <c r="A2006" s="209"/>
      <c r="B2006" s="212"/>
      <c r="C2006" s="211"/>
      <c r="D2006" s="212"/>
      <c r="E2006" s="213"/>
      <c r="F2006" s="212"/>
      <c r="G2006" s="215"/>
    </row>
    <row r="2007" spans="1:7" s="1088" customFormat="1" ht="15" x14ac:dyDescent="0.25">
      <c r="A2007" s="216" t="s">
        <v>130</v>
      </c>
      <c r="B2007" s="212"/>
      <c r="C2007" s="211"/>
      <c r="D2007" s="212"/>
      <c r="E2007" s="213"/>
      <c r="F2007" s="214"/>
      <c r="G2007" s="215"/>
    </row>
    <row r="2008" spans="1:7" s="1088" customFormat="1" ht="14.25" x14ac:dyDescent="0.2">
      <c r="A2008" s="209"/>
      <c r="B2008" s="212"/>
      <c r="C2008" s="211"/>
      <c r="D2008" s="212"/>
      <c r="E2008" s="213"/>
      <c r="F2008" s="214"/>
      <c r="G2008" s="215"/>
    </row>
    <row r="2009" spans="1:7" s="1088" customFormat="1" ht="15" x14ac:dyDescent="0.25">
      <c r="A2009" s="1071" t="s">
        <v>116</v>
      </c>
      <c r="B2009" s="1072"/>
      <c r="C2009" s="236" t="s">
        <v>131</v>
      </c>
      <c r="D2009" s="235" t="s">
        <v>132</v>
      </c>
      <c r="E2009" s="236" t="s">
        <v>133</v>
      </c>
      <c r="F2009" s="237" t="s">
        <v>126</v>
      </c>
      <c r="G2009" s="238" t="s">
        <v>134</v>
      </c>
    </row>
    <row r="2010" spans="1:7" s="1088" customFormat="1" ht="14.25" x14ac:dyDescent="0.2">
      <c r="A2010" s="209" t="s">
        <v>10</v>
      </c>
      <c r="B2010" s="259"/>
      <c r="C2010" s="260">
        <f>M2</f>
        <v>22981.8</v>
      </c>
      <c r="D2010" s="261">
        <f>N2</f>
        <v>1.76</v>
      </c>
      <c r="E2010" s="276">
        <f>C2010*D2010</f>
        <v>40447.968000000001</v>
      </c>
      <c r="F2010" s="222">
        <f>1/20</f>
        <v>0.05</v>
      </c>
      <c r="G2010" s="224">
        <f>F2010*E2010</f>
        <v>2022.3984</v>
      </c>
    </row>
    <row r="2011" spans="1:7" s="1088" customFormat="1" ht="14.25" x14ac:dyDescent="0.2">
      <c r="A2011" s="209"/>
      <c r="B2011" s="259"/>
      <c r="C2011" s="260"/>
      <c r="D2011" s="261"/>
      <c r="E2011" s="276"/>
      <c r="F2011" s="222"/>
      <c r="G2011" s="224">
        <f>F2011*E2011</f>
        <v>0</v>
      </c>
    </row>
    <row r="2012" spans="1:7" s="1088" customFormat="1" ht="14.25" x14ac:dyDescent="0.2">
      <c r="A2012" s="209"/>
      <c r="B2012" s="245"/>
      <c r="C2012" s="265"/>
      <c r="D2012" s="246"/>
      <c r="E2012" s="265"/>
      <c r="F2012" s="266"/>
      <c r="G2012" s="267"/>
    </row>
    <row r="2013" spans="1:7" s="1088" customFormat="1" ht="14.25" x14ac:dyDescent="0.2">
      <c r="A2013" s="249"/>
      <c r="B2013" s="250"/>
      <c r="C2013" s="252"/>
      <c r="D2013" s="251"/>
      <c r="E2013" s="252"/>
      <c r="F2013" s="254"/>
      <c r="G2013" s="268"/>
    </row>
    <row r="2014" spans="1:7" s="1088" customFormat="1" ht="15" x14ac:dyDescent="0.25">
      <c r="A2014" s="209"/>
      <c r="B2014" s="212"/>
      <c r="C2014" s="211"/>
      <c r="D2014" s="212"/>
      <c r="E2014" s="269"/>
      <c r="F2014" s="269" t="s">
        <v>121</v>
      </c>
      <c r="G2014" s="270">
        <f>+SUM(G2010:G2013)</f>
        <v>2022.3984</v>
      </c>
    </row>
    <row r="2015" spans="1:7" s="1088" customFormat="1" ht="15" x14ac:dyDescent="0.25">
      <c r="A2015" s="209"/>
      <c r="B2015" s="212"/>
      <c r="C2015" s="211"/>
      <c r="D2015" s="212"/>
      <c r="E2015" s="257"/>
      <c r="F2015" s="257"/>
      <c r="G2015" s="271"/>
    </row>
    <row r="2016" spans="1:7" s="1088" customFormat="1" ht="15" x14ac:dyDescent="0.25">
      <c r="A2016" s="216" t="s">
        <v>135</v>
      </c>
      <c r="B2016" s="212"/>
      <c r="C2016" s="211"/>
      <c r="D2016" s="212"/>
      <c r="E2016" s="213"/>
      <c r="F2016" s="214"/>
      <c r="G2016" s="215"/>
    </row>
    <row r="2017" spans="1:7" s="1088" customFormat="1" ht="14.25" x14ac:dyDescent="0.2">
      <c r="A2017" s="209"/>
      <c r="B2017" s="212"/>
      <c r="C2017" s="211"/>
      <c r="D2017" s="212"/>
      <c r="E2017" s="213"/>
      <c r="F2017" s="214"/>
      <c r="G2017" s="215"/>
    </row>
    <row r="2018" spans="1:7" s="1088" customFormat="1" ht="15" x14ac:dyDescent="0.25">
      <c r="A2018" s="1071" t="s">
        <v>116</v>
      </c>
      <c r="B2018" s="1072"/>
      <c r="C2018" s="236" t="s">
        <v>117</v>
      </c>
      <c r="D2018" s="235" t="s">
        <v>136</v>
      </c>
      <c r="E2018" s="236" t="s">
        <v>124</v>
      </c>
      <c r="F2018" s="237" t="s">
        <v>126</v>
      </c>
      <c r="G2018" s="238" t="s">
        <v>134</v>
      </c>
    </row>
    <row r="2019" spans="1:7" s="1088" customFormat="1" ht="14.25" x14ac:dyDescent="0.2">
      <c r="A2019" s="209" t="s">
        <v>175</v>
      </c>
      <c r="B2019" s="286"/>
      <c r="C2019" s="287" t="s">
        <v>79</v>
      </c>
      <c r="D2019" s="261"/>
      <c r="E2019" s="276">
        <v>68000</v>
      </c>
      <c r="F2019" s="222">
        <f>1/80</f>
        <v>1.2500000000000001E-2</v>
      </c>
      <c r="G2019" s="224">
        <f>F2019*E2019</f>
        <v>850</v>
      </c>
    </row>
    <row r="2020" spans="1:7" s="1088" customFormat="1" ht="14.25" x14ac:dyDescent="0.2">
      <c r="A2020" s="209"/>
      <c r="B2020" s="275"/>
      <c r="C2020" s="260"/>
      <c r="D2020" s="261"/>
      <c r="E2020" s="276"/>
      <c r="F2020" s="222"/>
      <c r="G2020" s="224"/>
    </row>
    <row r="2021" spans="1:7" s="1088" customFormat="1" ht="14.25" x14ac:dyDescent="0.2">
      <c r="A2021" s="209"/>
      <c r="B2021" s="259"/>
      <c r="C2021" s="260"/>
      <c r="D2021" s="261"/>
      <c r="E2021" s="276"/>
      <c r="F2021" s="222"/>
      <c r="G2021" s="224"/>
    </row>
    <row r="2022" spans="1:7" s="1088" customFormat="1" ht="14.25" x14ac:dyDescent="0.2">
      <c r="A2022" s="209"/>
      <c r="B2022" s="259"/>
      <c r="C2022" s="260"/>
      <c r="D2022" s="261"/>
      <c r="E2022" s="276"/>
      <c r="F2022" s="222"/>
      <c r="G2022" s="224"/>
    </row>
    <row r="2023" spans="1:7" s="1088" customFormat="1" ht="14.25" x14ac:dyDescent="0.2">
      <c r="A2023" s="209"/>
      <c r="B2023" s="245"/>
      <c r="C2023" s="265"/>
      <c r="D2023" s="246"/>
      <c r="E2023" s="265"/>
      <c r="F2023" s="266"/>
      <c r="G2023" s="267"/>
    </row>
    <row r="2024" spans="1:7" s="1088" customFormat="1" ht="14.25" x14ac:dyDescent="0.2">
      <c r="A2024" s="249"/>
      <c r="B2024" s="250"/>
      <c r="C2024" s="252"/>
      <c r="D2024" s="251"/>
      <c r="E2024" s="252"/>
      <c r="F2024" s="254"/>
      <c r="G2024" s="268"/>
    </row>
    <row r="2025" spans="1:7" s="1088" customFormat="1" ht="15" x14ac:dyDescent="0.25">
      <c r="A2025" s="209"/>
      <c r="B2025" s="212"/>
      <c r="C2025" s="211"/>
      <c r="D2025" s="212"/>
      <c r="E2025" s="269"/>
      <c r="F2025" s="269" t="s">
        <v>121</v>
      </c>
      <c r="G2025" s="270">
        <f>+SUM(G2019:G2024)</f>
        <v>850</v>
      </c>
    </row>
    <row r="2026" spans="1:7" s="1088" customFormat="1" ht="14.25" x14ac:dyDescent="0.2">
      <c r="A2026" s="209"/>
      <c r="B2026" s="212"/>
      <c r="C2026" s="211"/>
      <c r="D2026" s="212"/>
      <c r="E2026" s="213"/>
      <c r="F2026" s="214"/>
      <c r="G2026" s="271"/>
    </row>
    <row r="2027" spans="1:7" s="1088" customFormat="1" ht="15" x14ac:dyDescent="0.25">
      <c r="A2027" s="277"/>
      <c r="B2027" s="278"/>
      <c r="C2027" s="278"/>
      <c r="D2027" s="278"/>
      <c r="E2027" s="279"/>
      <c r="F2027" s="280" t="s">
        <v>137</v>
      </c>
      <c r="G2027" s="283">
        <f>+ROUND(G1995+G2005+G2014+G2025,0)</f>
        <v>2974</v>
      </c>
    </row>
    <row r="2028" spans="1:7" s="1088" customFormat="1" ht="14.25" x14ac:dyDescent="0.2"/>
    <row r="2029" spans="1:7" s="1088" customFormat="1" ht="15" x14ac:dyDescent="0.25">
      <c r="A2029" s="145" t="s">
        <v>160</v>
      </c>
      <c r="B2029" s="1262" t="s">
        <v>161</v>
      </c>
      <c r="C2029" s="1263"/>
      <c r="D2029" s="1263"/>
      <c r="E2029" s="1263"/>
      <c r="F2029" s="1264"/>
      <c r="G2029" s="146" t="s">
        <v>2</v>
      </c>
    </row>
    <row r="2030" spans="1:7" s="1088" customFormat="1" ht="15" x14ac:dyDescent="0.25">
      <c r="A2030" s="208">
        <f>'FORMATO PROPUESTA ECONÓMICA'!A65</f>
        <v>7.3</v>
      </c>
      <c r="B2030" s="1265" t="str">
        <f>'FORMATO PROPUESTA ECONÓMICA'!B65</f>
        <v>Silleta socket PN 10, agua de 63 mm con salida 20 mm</v>
      </c>
      <c r="C2030" s="1266"/>
      <c r="D2030" s="1266"/>
      <c r="E2030" s="1266"/>
      <c r="F2030" s="1267"/>
      <c r="G2030" s="187" t="str">
        <f>'FORMATO PROPUESTA ECONÓMICA'!C65</f>
        <v>und</v>
      </c>
    </row>
    <row r="2031" spans="1:7" s="1088" customFormat="1" ht="14.25" x14ac:dyDescent="0.2">
      <c r="A2031" s="209"/>
      <c r="B2031" s="210"/>
      <c r="C2031" s="211"/>
      <c r="D2031" s="212"/>
      <c r="E2031" s="213"/>
      <c r="F2031" s="214"/>
      <c r="G2031" s="215"/>
    </row>
    <row r="2032" spans="1:7" s="1088" customFormat="1" ht="15" x14ac:dyDescent="0.25">
      <c r="A2032" s="216" t="s">
        <v>115</v>
      </c>
      <c r="B2032" s="212"/>
      <c r="C2032" s="211"/>
      <c r="D2032" s="212"/>
      <c r="E2032" s="213"/>
      <c r="F2032" s="214"/>
      <c r="G2032" s="215"/>
    </row>
    <row r="2033" spans="1:7" s="1088" customFormat="1" ht="14.25" x14ac:dyDescent="0.2">
      <c r="A2033" s="209"/>
      <c r="B2033" s="212"/>
      <c r="C2033" s="211"/>
      <c r="D2033" s="212"/>
      <c r="E2033" s="213"/>
      <c r="F2033" s="214"/>
      <c r="G2033" s="215"/>
    </row>
    <row r="2034" spans="1:7" s="1088" customFormat="1" ht="15" x14ac:dyDescent="0.25">
      <c r="A2034" s="1075" t="s">
        <v>116</v>
      </c>
      <c r="B2034" s="1076"/>
      <c r="C2034" s="217" t="s">
        <v>117</v>
      </c>
      <c r="D2034" s="1075" t="s">
        <v>118</v>
      </c>
      <c r="E2034" s="218" t="s">
        <v>39</v>
      </c>
      <c r="F2034" s="1075" t="s">
        <v>119</v>
      </c>
      <c r="G2034" s="219" t="s">
        <v>120</v>
      </c>
    </row>
    <row r="2035" spans="1:7" s="1088" customFormat="1" ht="15" customHeight="1" x14ac:dyDescent="0.2">
      <c r="A2035" s="209"/>
      <c r="B2035" s="286"/>
      <c r="C2035" s="220"/>
      <c r="D2035" s="261"/>
      <c r="E2035" s="276"/>
      <c r="F2035" s="222"/>
      <c r="G2035" s="224"/>
    </row>
    <row r="2036" spans="1:7" s="1088" customFormat="1" ht="14.25" x14ac:dyDescent="0.2">
      <c r="A2036" s="1060"/>
      <c r="B2036" s="1068"/>
      <c r="C2036" s="225"/>
      <c r="D2036" s="221"/>
      <c r="E2036" s="226"/>
      <c r="F2036" s="227"/>
      <c r="G2036" s="228">
        <f>D2036*E2036</f>
        <v>0</v>
      </c>
    </row>
    <row r="2037" spans="1:7" s="1088" customFormat="1" ht="14.25" x14ac:dyDescent="0.2">
      <c r="A2037" s="1060"/>
      <c r="B2037" s="1068"/>
      <c r="C2037" s="229"/>
      <c r="D2037" s="221"/>
      <c r="E2037" s="226"/>
      <c r="F2037" s="227"/>
      <c r="G2037" s="228">
        <f>D2037*E2037</f>
        <v>0</v>
      </c>
    </row>
    <row r="2038" spans="1:7" s="1088" customFormat="1" ht="14.25" x14ac:dyDescent="0.2">
      <c r="A2038" s="1060"/>
      <c r="B2038" s="1068"/>
      <c r="C2038" s="225"/>
      <c r="D2038" s="221"/>
      <c r="E2038" s="226"/>
      <c r="F2038" s="227"/>
      <c r="G2038" s="228">
        <f>D2038*E2038</f>
        <v>0</v>
      </c>
    </row>
    <row r="2039" spans="1:7" s="1088" customFormat="1" ht="14.25" x14ac:dyDescent="0.2">
      <c r="A2039" s="1069"/>
      <c r="B2039" s="1070"/>
      <c r="C2039" s="230"/>
      <c r="D2039" s="231"/>
      <c r="E2039" s="232"/>
      <c r="F2039" s="233"/>
      <c r="G2039" s="228">
        <f>D2039*E2039</f>
        <v>0</v>
      </c>
    </row>
    <row r="2040" spans="1:7" s="1088" customFormat="1" ht="15" x14ac:dyDescent="0.25">
      <c r="A2040" s="1073"/>
      <c r="B2040" s="210"/>
      <c r="C2040" s="211"/>
      <c r="D2040" s="212"/>
      <c r="E2040" s="212"/>
      <c r="F2040" s="234" t="s">
        <v>121</v>
      </c>
      <c r="G2040" s="231">
        <f>+SUM(G2035:G2039)</f>
        <v>0</v>
      </c>
    </row>
    <row r="2041" spans="1:7" s="1088" customFormat="1" ht="14.25" x14ac:dyDescent="0.2">
      <c r="A2041" s="209"/>
      <c r="B2041" s="212"/>
      <c r="C2041" s="211" t="s">
        <v>123</v>
      </c>
      <c r="D2041" s="212"/>
      <c r="E2041" s="213"/>
      <c r="F2041" s="214"/>
      <c r="G2041" s="215"/>
    </row>
    <row r="2042" spans="1:7" s="1088" customFormat="1" ht="15" x14ac:dyDescent="0.25">
      <c r="A2042" s="216" t="s">
        <v>122</v>
      </c>
      <c r="B2042" s="212"/>
      <c r="C2042" s="211" t="s">
        <v>123</v>
      </c>
      <c r="D2042" s="212"/>
      <c r="E2042" s="213"/>
      <c r="F2042" s="214"/>
      <c r="G2042" s="215"/>
    </row>
    <row r="2043" spans="1:7" s="1088" customFormat="1" ht="14.25" x14ac:dyDescent="0.2">
      <c r="A2043" s="209"/>
      <c r="B2043" s="212"/>
      <c r="C2043" s="211"/>
      <c r="D2043" s="212"/>
      <c r="E2043" s="213"/>
      <c r="F2043" s="214"/>
      <c r="G2043" s="215"/>
    </row>
    <row r="2044" spans="1:7" s="1088" customFormat="1" ht="15" x14ac:dyDescent="0.25">
      <c r="A2044" s="1071" t="s">
        <v>116</v>
      </c>
      <c r="B2044" s="1072"/>
      <c r="C2044" s="235" t="s">
        <v>117</v>
      </c>
      <c r="D2044" s="236" t="s">
        <v>124</v>
      </c>
      <c r="E2044" s="236" t="s">
        <v>125</v>
      </c>
      <c r="F2044" s="237" t="s">
        <v>126</v>
      </c>
      <c r="G2044" s="238" t="s">
        <v>120</v>
      </c>
    </row>
    <row r="2045" spans="1:7" s="1088" customFormat="1" ht="28.5" x14ac:dyDescent="0.2">
      <c r="A2045" s="1066" t="s">
        <v>127</v>
      </c>
      <c r="B2045" s="1067"/>
      <c r="C2045" s="239" t="s">
        <v>128</v>
      </c>
      <c r="D2045" s="240"/>
      <c r="E2045" s="241"/>
      <c r="F2045" s="222"/>
      <c r="G2045" s="242">
        <f>G2059*0.05</f>
        <v>277.11992000000004</v>
      </c>
    </row>
    <row r="2046" spans="1:7" s="1088" customFormat="1" ht="14.25" x14ac:dyDescent="0.2">
      <c r="A2046" s="1073" t="s">
        <v>174</v>
      </c>
      <c r="B2046" s="1074"/>
      <c r="C2046" s="243" t="s">
        <v>176</v>
      </c>
      <c r="D2046" s="221">
        <v>200000</v>
      </c>
      <c r="E2046" s="244"/>
      <c r="F2046" s="222">
        <v>20</v>
      </c>
      <c r="G2046" s="224">
        <f>D2046/F2046</f>
        <v>10000</v>
      </c>
    </row>
    <row r="2047" spans="1:7" s="1088" customFormat="1" ht="14.25" x14ac:dyDescent="0.2">
      <c r="A2047" s="1073"/>
      <c r="B2047" s="1074"/>
      <c r="C2047" s="243"/>
      <c r="D2047" s="221"/>
      <c r="E2047" s="244"/>
      <c r="F2047" s="222"/>
      <c r="G2047" s="224"/>
    </row>
    <row r="2048" spans="1:7" s="1088" customFormat="1" ht="14.25" x14ac:dyDescent="0.2">
      <c r="A2048" s="209"/>
      <c r="B2048" s="245"/>
      <c r="C2048" s="246"/>
      <c r="D2048" s="221"/>
      <c r="E2048" s="247"/>
      <c r="F2048" s="222"/>
      <c r="G2048" s="248"/>
    </row>
    <row r="2049" spans="1:7" s="1088" customFormat="1" ht="14.25" x14ac:dyDescent="0.2">
      <c r="A2049" s="249"/>
      <c r="B2049" s="250"/>
      <c r="C2049" s="251"/>
      <c r="D2049" s="252"/>
      <c r="E2049" s="253"/>
      <c r="F2049" s="254"/>
      <c r="G2049" s="255"/>
    </row>
    <row r="2050" spans="1:7" s="1088" customFormat="1" ht="15" x14ac:dyDescent="0.25">
      <c r="A2050" s="209"/>
      <c r="B2050" s="214"/>
      <c r="C2050" s="256"/>
      <c r="D2050" s="214"/>
      <c r="E2050" s="212"/>
      <c r="F2050" s="257" t="s">
        <v>121</v>
      </c>
      <c r="G2050" s="258">
        <f>+SUM(G2045:G2049)</f>
        <v>10277.119919999999</v>
      </c>
    </row>
    <row r="2051" spans="1:7" s="1088" customFormat="1" ht="14.25" x14ac:dyDescent="0.2">
      <c r="A2051" s="209"/>
      <c r="B2051" s="212"/>
      <c r="C2051" s="211"/>
      <c r="D2051" s="212"/>
      <c r="E2051" s="213"/>
      <c r="F2051" s="212"/>
      <c r="G2051" s="215"/>
    </row>
    <row r="2052" spans="1:7" s="1088" customFormat="1" ht="15" x14ac:dyDescent="0.25">
      <c r="A2052" s="216" t="s">
        <v>130</v>
      </c>
      <c r="B2052" s="212"/>
      <c r="C2052" s="211"/>
      <c r="D2052" s="212"/>
      <c r="E2052" s="213"/>
      <c r="F2052" s="214"/>
      <c r="G2052" s="215"/>
    </row>
    <row r="2053" spans="1:7" s="1088" customFormat="1" ht="14.25" x14ac:dyDescent="0.2">
      <c r="A2053" s="209"/>
      <c r="B2053" s="212"/>
      <c r="C2053" s="211"/>
      <c r="D2053" s="212"/>
      <c r="E2053" s="213"/>
      <c r="F2053" s="214"/>
      <c r="G2053" s="215"/>
    </row>
    <row r="2054" spans="1:7" s="1088" customFormat="1" ht="15" x14ac:dyDescent="0.25">
      <c r="A2054" s="1071" t="s">
        <v>116</v>
      </c>
      <c r="B2054" s="1072"/>
      <c r="C2054" s="236" t="s">
        <v>131</v>
      </c>
      <c r="D2054" s="235" t="s">
        <v>132</v>
      </c>
      <c r="E2054" s="236" t="s">
        <v>133</v>
      </c>
      <c r="F2054" s="237" t="s">
        <v>126</v>
      </c>
      <c r="G2054" s="238" t="s">
        <v>134</v>
      </c>
    </row>
    <row r="2055" spans="1:7" s="1088" customFormat="1" ht="14.25" x14ac:dyDescent="0.2">
      <c r="A2055" s="209" t="s">
        <v>10</v>
      </c>
      <c r="B2055" s="259"/>
      <c r="C2055" s="260">
        <f>M2</f>
        <v>22981.8</v>
      </c>
      <c r="D2055" s="261">
        <f>N2</f>
        <v>1.76</v>
      </c>
      <c r="E2055" s="276">
        <f>C2055*D2055</f>
        <v>40447.968000000001</v>
      </c>
      <c r="F2055" s="222">
        <f>1/20</f>
        <v>0.05</v>
      </c>
      <c r="G2055" s="224">
        <f>F2055*E2055</f>
        <v>2022.3984</v>
      </c>
    </row>
    <row r="2056" spans="1:7" s="1088" customFormat="1" ht="14.25" x14ac:dyDescent="0.2">
      <c r="A2056" s="209" t="s">
        <v>140</v>
      </c>
      <c r="B2056" s="259"/>
      <c r="C2056" s="260">
        <f>M3</f>
        <v>40000</v>
      </c>
      <c r="D2056" s="261">
        <f>N3</f>
        <v>1.76</v>
      </c>
      <c r="E2056" s="276">
        <f>C2056*D2056</f>
        <v>70400</v>
      </c>
      <c r="F2056" s="222">
        <f>1/20</f>
        <v>0.05</v>
      </c>
      <c r="G2056" s="224">
        <f>F2056*E2056</f>
        <v>3520</v>
      </c>
    </row>
    <row r="2057" spans="1:7" s="1088" customFormat="1" ht="14.25" x14ac:dyDescent="0.2">
      <c r="A2057" s="209"/>
      <c r="B2057" s="245"/>
      <c r="C2057" s="265"/>
      <c r="D2057" s="246"/>
      <c r="E2057" s="265"/>
      <c r="F2057" s="266"/>
      <c r="G2057" s="267"/>
    </row>
    <row r="2058" spans="1:7" s="1088" customFormat="1" ht="14.25" x14ac:dyDescent="0.2">
      <c r="A2058" s="249"/>
      <c r="B2058" s="250"/>
      <c r="C2058" s="252"/>
      <c r="D2058" s="251"/>
      <c r="E2058" s="252"/>
      <c r="F2058" s="254"/>
      <c r="G2058" s="268"/>
    </row>
    <row r="2059" spans="1:7" s="1088" customFormat="1" ht="15" x14ac:dyDescent="0.25">
      <c r="A2059" s="209"/>
      <c r="B2059" s="212"/>
      <c r="C2059" s="211"/>
      <c r="D2059" s="212"/>
      <c r="E2059" s="269"/>
      <c r="F2059" s="269" t="s">
        <v>121</v>
      </c>
      <c r="G2059" s="270">
        <f>+SUM(G2055:G2058)</f>
        <v>5542.3984</v>
      </c>
    </row>
    <row r="2060" spans="1:7" s="1088" customFormat="1" ht="15" x14ac:dyDescent="0.25">
      <c r="A2060" s="209"/>
      <c r="B2060" s="212"/>
      <c r="C2060" s="211"/>
      <c r="D2060" s="212"/>
      <c r="E2060" s="257"/>
      <c r="F2060" s="257"/>
      <c r="G2060" s="271"/>
    </row>
    <row r="2061" spans="1:7" s="1088" customFormat="1" ht="15" x14ac:dyDescent="0.25">
      <c r="A2061" s="216" t="s">
        <v>135</v>
      </c>
      <c r="B2061" s="212"/>
      <c r="C2061" s="211"/>
      <c r="D2061" s="212"/>
      <c r="E2061" s="213"/>
      <c r="F2061" s="214"/>
      <c r="G2061" s="215"/>
    </row>
    <row r="2062" spans="1:7" s="1088" customFormat="1" ht="14.25" x14ac:dyDescent="0.2">
      <c r="A2062" s="209"/>
      <c r="B2062" s="212"/>
      <c r="C2062" s="211"/>
      <c r="D2062" s="212"/>
      <c r="E2062" s="213"/>
      <c r="F2062" s="214"/>
      <c r="G2062" s="215"/>
    </row>
    <row r="2063" spans="1:7" s="1088" customFormat="1" ht="15" x14ac:dyDescent="0.25">
      <c r="A2063" s="1071" t="s">
        <v>116</v>
      </c>
      <c r="B2063" s="1072"/>
      <c r="C2063" s="236" t="s">
        <v>117</v>
      </c>
      <c r="D2063" s="235" t="s">
        <v>136</v>
      </c>
      <c r="E2063" s="236" t="s">
        <v>124</v>
      </c>
      <c r="F2063" s="237" t="s">
        <v>126</v>
      </c>
      <c r="G2063" s="238" t="s">
        <v>134</v>
      </c>
    </row>
    <row r="2064" spans="1:7" s="1088" customFormat="1" ht="14.25" x14ac:dyDescent="0.2">
      <c r="A2064" s="209" t="s">
        <v>175</v>
      </c>
      <c r="B2064" s="286"/>
      <c r="C2064" s="287" t="s">
        <v>79</v>
      </c>
      <c r="D2064" s="261"/>
      <c r="E2064" s="276">
        <v>68000</v>
      </c>
      <c r="F2064" s="222">
        <f>1/80</f>
        <v>1.2500000000000001E-2</v>
      </c>
      <c r="G2064" s="224">
        <f>F2064*E2064</f>
        <v>850</v>
      </c>
    </row>
    <row r="2065" spans="1:8" s="1088" customFormat="1" ht="14.25" x14ac:dyDescent="0.2">
      <c r="A2065" s="209"/>
      <c r="B2065" s="275"/>
      <c r="C2065" s="260"/>
      <c r="D2065" s="261"/>
      <c r="E2065" s="276"/>
      <c r="F2065" s="222"/>
      <c r="G2065" s="224"/>
    </row>
    <row r="2066" spans="1:8" s="1088" customFormat="1" ht="14.25" x14ac:dyDescent="0.2">
      <c r="A2066" s="209"/>
      <c r="B2066" s="259"/>
      <c r="C2066" s="260"/>
      <c r="D2066" s="261"/>
      <c r="E2066" s="276"/>
      <c r="F2066" s="222"/>
      <c r="G2066" s="224"/>
    </row>
    <row r="2067" spans="1:8" s="1088" customFormat="1" ht="14.25" x14ac:dyDescent="0.2">
      <c r="A2067" s="209"/>
      <c r="B2067" s="259"/>
      <c r="C2067" s="260"/>
      <c r="D2067" s="261"/>
      <c r="E2067" s="276"/>
      <c r="F2067" s="222"/>
      <c r="G2067" s="224"/>
    </row>
    <row r="2068" spans="1:8" s="1088" customFormat="1" ht="14.25" x14ac:dyDescent="0.2">
      <c r="A2068" s="209"/>
      <c r="B2068" s="245"/>
      <c r="C2068" s="265"/>
      <c r="D2068" s="246"/>
      <c r="E2068" s="265"/>
      <c r="F2068" s="266"/>
      <c r="G2068" s="267"/>
    </row>
    <row r="2069" spans="1:8" s="1088" customFormat="1" ht="14.25" x14ac:dyDescent="0.2">
      <c r="A2069" s="249"/>
      <c r="B2069" s="250"/>
      <c r="C2069" s="252"/>
      <c r="D2069" s="251"/>
      <c r="E2069" s="252"/>
      <c r="F2069" s="254"/>
      <c r="G2069" s="268"/>
    </row>
    <row r="2070" spans="1:8" s="1088" customFormat="1" ht="15" x14ac:dyDescent="0.25">
      <c r="A2070" s="209"/>
      <c r="B2070" s="212"/>
      <c r="C2070" s="211"/>
      <c r="D2070" s="212"/>
      <c r="E2070" s="269"/>
      <c r="F2070" s="269" t="s">
        <v>121</v>
      </c>
      <c r="G2070" s="270">
        <f>+SUM(G2064:G2069)</f>
        <v>850</v>
      </c>
    </row>
    <row r="2071" spans="1:8" s="1088" customFormat="1" ht="14.25" x14ac:dyDescent="0.2">
      <c r="A2071" s="209"/>
      <c r="B2071" s="212"/>
      <c r="C2071" s="211"/>
      <c r="D2071" s="212"/>
      <c r="E2071" s="213"/>
      <c r="F2071" s="214"/>
      <c r="G2071" s="271"/>
    </row>
    <row r="2072" spans="1:8" s="1088" customFormat="1" ht="15" x14ac:dyDescent="0.25">
      <c r="A2072" s="277"/>
      <c r="B2072" s="278"/>
      <c r="C2072" s="278"/>
      <c r="D2072" s="278"/>
      <c r="E2072" s="279"/>
      <c r="F2072" s="280" t="s">
        <v>137</v>
      </c>
      <c r="G2072" s="283">
        <f>+ROUND(G2040+G2050+G2059+G2070,20)</f>
        <v>16669.518319999999</v>
      </c>
      <c r="H2072" s="1090"/>
    </row>
    <row r="2073" spans="1:8" s="1088" customFormat="1" ht="14.25" x14ac:dyDescent="0.2"/>
    <row r="2074" spans="1:8" s="1088" customFormat="1" ht="15" x14ac:dyDescent="0.25">
      <c r="A2074" s="145" t="s">
        <v>160</v>
      </c>
      <c r="B2074" s="1262" t="s">
        <v>161</v>
      </c>
      <c r="C2074" s="1263"/>
      <c r="D2074" s="1263"/>
      <c r="E2074" s="1263"/>
      <c r="F2074" s="1264"/>
      <c r="G2074" s="146" t="s">
        <v>2</v>
      </c>
    </row>
    <row r="2075" spans="1:8" s="1088" customFormat="1" ht="15" x14ac:dyDescent="0.25">
      <c r="A2075" s="208">
        <f>'FORMATO PROPUESTA ECONÓMICA'!A66</f>
        <v>7.4</v>
      </c>
      <c r="B2075" s="1265" t="str">
        <f>'FORMATO PROPUESTA ECONÓMICA'!B66</f>
        <v>Silleta socket PN 10, agua de 63 mm con salida 25 mm</v>
      </c>
      <c r="C2075" s="1266"/>
      <c r="D2075" s="1266"/>
      <c r="E2075" s="1266"/>
      <c r="F2075" s="1267"/>
      <c r="G2075" s="187" t="str">
        <f>'FORMATO PROPUESTA ECONÓMICA'!C66</f>
        <v>und</v>
      </c>
    </row>
    <row r="2076" spans="1:8" s="1088" customFormat="1" ht="14.25" x14ac:dyDescent="0.2">
      <c r="A2076" s="209"/>
      <c r="B2076" s="210"/>
      <c r="C2076" s="211"/>
      <c r="D2076" s="212"/>
      <c r="E2076" s="213"/>
      <c r="F2076" s="214"/>
      <c r="G2076" s="215"/>
    </row>
    <row r="2077" spans="1:8" s="1088" customFormat="1" ht="15" x14ac:dyDescent="0.25">
      <c r="A2077" s="216" t="s">
        <v>115</v>
      </c>
      <c r="B2077" s="212"/>
      <c r="C2077" s="211"/>
      <c r="D2077" s="212"/>
      <c r="E2077" s="213"/>
      <c r="F2077" s="214"/>
      <c r="G2077" s="215"/>
    </row>
    <row r="2078" spans="1:8" s="1088" customFormat="1" ht="14.25" x14ac:dyDescent="0.2">
      <c r="A2078" s="209"/>
      <c r="B2078" s="212"/>
      <c r="C2078" s="211"/>
      <c r="D2078" s="212"/>
      <c r="E2078" s="213"/>
      <c r="F2078" s="214"/>
      <c r="G2078" s="215"/>
    </row>
    <row r="2079" spans="1:8" s="1088" customFormat="1" ht="15" x14ac:dyDescent="0.25">
      <c r="A2079" s="1075" t="s">
        <v>116</v>
      </c>
      <c r="B2079" s="1076"/>
      <c r="C2079" s="217" t="s">
        <v>117</v>
      </c>
      <c r="D2079" s="1075" t="s">
        <v>118</v>
      </c>
      <c r="E2079" s="218" t="s">
        <v>39</v>
      </c>
      <c r="F2079" s="1075" t="s">
        <v>119</v>
      </c>
      <c r="G2079" s="219" t="s">
        <v>120</v>
      </c>
    </row>
    <row r="2080" spans="1:8" s="1088" customFormat="1" ht="15" customHeight="1" x14ac:dyDescent="0.2">
      <c r="A2080" s="209"/>
      <c r="B2080" s="286"/>
      <c r="C2080" s="220"/>
      <c r="D2080" s="261"/>
      <c r="E2080" s="276"/>
      <c r="F2080" s="222"/>
      <c r="G2080" s="224"/>
    </row>
    <row r="2081" spans="1:7" s="1088" customFormat="1" ht="14.25" x14ac:dyDescent="0.2">
      <c r="A2081" s="1060"/>
      <c r="B2081" s="1068"/>
      <c r="C2081" s="225"/>
      <c r="D2081" s="221"/>
      <c r="E2081" s="226"/>
      <c r="F2081" s="227"/>
      <c r="G2081" s="228">
        <f>D2081*E2081</f>
        <v>0</v>
      </c>
    </row>
    <row r="2082" spans="1:7" s="1088" customFormat="1" ht="14.25" x14ac:dyDescent="0.2">
      <c r="A2082" s="1060"/>
      <c r="B2082" s="1068"/>
      <c r="C2082" s="229"/>
      <c r="D2082" s="221"/>
      <c r="E2082" s="226"/>
      <c r="F2082" s="227"/>
      <c r="G2082" s="228">
        <f>D2082*E2082</f>
        <v>0</v>
      </c>
    </row>
    <row r="2083" spans="1:7" s="1088" customFormat="1" ht="14.25" x14ac:dyDescent="0.2">
      <c r="A2083" s="1060"/>
      <c r="B2083" s="1068"/>
      <c r="C2083" s="225"/>
      <c r="D2083" s="221"/>
      <c r="E2083" s="226"/>
      <c r="F2083" s="227"/>
      <c r="G2083" s="228">
        <f>D2083*E2083</f>
        <v>0</v>
      </c>
    </row>
    <row r="2084" spans="1:7" s="1088" customFormat="1" ht="14.25" x14ac:dyDescent="0.2">
      <c r="A2084" s="1069"/>
      <c r="B2084" s="1070"/>
      <c r="C2084" s="230"/>
      <c r="D2084" s="231"/>
      <c r="E2084" s="232"/>
      <c r="F2084" s="233"/>
      <c r="G2084" s="228">
        <f>D2084*E2084</f>
        <v>0</v>
      </c>
    </row>
    <row r="2085" spans="1:7" s="1088" customFormat="1" ht="15" x14ac:dyDescent="0.25">
      <c r="A2085" s="1073"/>
      <c r="B2085" s="210"/>
      <c r="C2085" s="211"/>
      <c r="D2085" s="212"/>
      <c r="E2085" s="212"/>
      <c r="F2085" s="234" t="s">
        <v>121</v>
      </c>
      <c r="G2085" s="231">
        <f>+SUM(G2080:G2084)</f>
        <v>0</v>
      </c>
    </row>
    <row r="2086" spans="1:7" s="1088" customFormat="1" ht="14.25" x14ac:dyDescent="0.2">
      <c r="A2086" s="209"/>
      <c r="B2086" s="212"/>
      <c r="C2086" s="211" t="s">
        <v>123</v>
      </c>
      <c r="D2086" s="212"/>
      <c r="E2086" s="213"/>
      <c r="F2086" s="214"/>
      <c r="G2086" s="215"/>
    </row>
    <row r="2087" spans="1:7" s="1088" customFormat="1" ht="15" x14ac:dyDescent="0.25">
      <c r="A2087" s="216" t="s">
        <v>122</v>
      </c>
      <c r="B2087" s="212"/>
      <c r="C2087" s="211" t="s">
        <v>123</v>
      </c>
      <c r="D2087" s="212"/>
      <c r="E2087" s="213"/>
      <c r="F2087" s="214"/>
      <c r="G2087" s="215"/>
    </row>
    <row r="2088" spans="1:7" s="1088" customFormat="1" ht="14.25" x14ac:dyDescent="0.2">
      <c r="A2088" s="209"/>
      <c r="B2088" s="212"/>
      <c r="C2088" s="211"/>
      <c r="D2088" s="212"/>
      <c r="E2088" s="213"/>
      <c r="F2088" s="214"/>
      <c r="G2088" s="215"/>
    </row>
    <row r="2089" spans="1:7" s="1088" customFormat="1" ht="15" x14ac:dyDescent="0.25">
      <c r="A2089" s="1071" t="s">
        <v>116</v>
      </c>
      <c r="B2089" s="1072"/>
      <c r="C2089" s="235" t="s">
        <v>117</v>
      </c>
      <c r="D2089" s="236" t="s">
        <v>124</v>
      </c>
      <c r="E2089" s="236" t="s">
        <v>125</v>
      </c>
      <c r="F2089" s="237" t="s">
        <v>126</v>
      </c>
      <c r="G2089" s="238" t="s">
        <v>120</v>
      </c>
    </row>
    <row r="2090" spans="1:7" s="1088" customFormat="1" ht="28.5" x14ac:dyDescent="0.2">
      <c r="A2090" s="1066" t="s">
        <v>127</v>
      </c>
      <c r="B2090" s="1067"/>
      <c r="C2090" s="239" t="s">
        <v>128</v>
      </c>
      <c r="D2090" s="240"/>
      <c r="E2090" s="241"/>
      <c r="F2090" s="222"/>
      <c r="G2090" s="242">
        <f>G2104*0.05</f>
        <v>277.11992000000004</v>
      </c>
    </row>
    <row r="2091" spans="1:7" s="1088" customFormat="1" ht="14.25" x14ac:dyDescent="0.2">
      <c r="A2091" s="1073" t="s">
        <v>174</v>
      </c>
      <c r="B2091" s="1074"/>
      <c r="C2091" s="243" t="s">
        <v>176</v>
      </c>
      <c r="D2091" s="221">
        <v>200000</v>
      </c>
      <c r="E2091" s="244"/>
      <c r="F2091" s="222">
        <v>20</v>
      </c>
      <c r="G2091" s="224">
        <f>D2091/F2091</f>
        <v>10000</v>
      </c>
    </row>
    <row r="2092" spans="1:7" s="1088" customFormat="1" ht="14.25" x14ac:dyDescent="0.2">
      <c r="A2092" s="1073"/>
      <c r="B2092" s="1074"/>
      <c r="C2092" s="243"/>
      <c r="D2092" s="221"/>
      <c r="E2092" s="244"/>
      <c r="F2092" s="222"/>
      <c r="G2092" s="224"/>
    </row>
    <row r="2093" spans="1:7" s="1088" customFormat="1" ht="14.25" x14ac:dyDescent="0.2">
      <c r="A2093" s="209"/>
      <c r="B2093" s="245"/>
      <c r="C2093" s="246"/>
      <c r="D2093" s="221"/>
      <c r="E2093" s="247"/>
      <c r="F2093" s="222"/>
      <c r="G2093" s="248"/>
    </row>
    <row r="2094" spans="1:7" s="1088" customFormat="1" ht="14.25" x14ac:dyDescent="0.2">
      <c r="A2094" s="249"/>
      <c r="B2094" s="250"/>
      <c r="C2094" s="251"/>
      <c r="D2094" s="252"/>
      <c r="E2094" s="253"/>
      <c r="F2094" s="254"/>
      <c r="G2094" s="255"/>
    </row>
    <row r="2095" spans="1:7" s="1088" customFormat="1" ht="15" x14ac:dyDescent="0.25">
      <c r="A2095" s="209"/>
      <c r="B2095" s="214"/>
      <c r="C2095" s="256"/>
      <c r="D2095" s="214"/>
      <c r="E2095" s="212"/>
      <c r="F2095" s="257" t="s">
        <v>121</v>
      </c>
      <c r="G2095" s="258">
        <f>+SUM(G2090:G2094)</f>
        <v>10277.119919999999</v>
      </c>
    </row>
    <row r="2096" spans="1:7" s="1088" customFormat="1" ht="14.25" x14ac:dyDescent="0.2">
      <c r="A2096" s="209"/>
      <c r="B2096" s="212"/>
      <c r="C2096" s="211"/>
      <c r="D2096" s="212"/>
      <c r="E2096" s="213"/>
      <c r="F2096" s="212"/>
      <c r="G2096" s="215"/>
    </row>
    <row r="2097" spans="1:7" s="1088" customFormat="1" ht="15" x14ac:dyDescent="0.25">
      <c r="A2097" s="216" t="s">
        <v>130</v>
      </c>
      <c r="B2097" s="212"/>
      <c r="C2097" s="211"/>
      <c r="D2097" s="212"/>
      <c r="E2097" s="213"/>
      <c r="F2097" s="214"/>
      <c r="G2097" s="215"/>
    </row>
    <row r="2098" spans="1:7" s="1088" customFormat="1" ht="14.25" x14ac:dyDescent="0.2">
      <c r="A2098" s="209"/>
      <c r="B2098" s="212"/>
      <c r="C2098" s="211"/>
      <c r="D2098" s="212"/>
      <c r="E2098" s="213"/>
      <c r="F2098" s="214"/>
      <c r="G2098" s="215"/>
    </row>
    <row r="2099" spans="1:7" s="1088" customFormat="1" ht="15" x14ac:dyDescent="0.25">
      <c r="A2099" s="1071" t="s">
        <v>116</v>
      </c>
      <c r="B2099" s="1072"/>
      <c r="C2099" s="236" t="s">
        <v>131</v>
      </c>
      <c r="D2099" s="235" t="s">
        <v>132</v>
      </c>
      <c r="E2099" s="236" t="s">
        <v>133</v>
      </c>
      <c r="F2099" s="237" t="s">
        <v>126</v>
      </c>
      <c r="G2099" s="238" t="s">
        <v>134</v>
      </c>
    </row>
    <row r="2100" spans="1:7" s="1088" customFormat="1" ht="14.25" x14ac:dyDescent="0.2">
      <c r="A2100" s="209" t="s">
        <v>10</v>
      </c>
      <c r="B2100" s="259"/>
      <c r="C2100" s="260">
        <f>M2</f>
        <v>22981.8</v>
      </c>
      <c r="D2100" s="261">
        <f>N2</f>
        <v>1.76</v>
      </c>
      <c r="E2100" s="276">
        <f>C2100*D2100</f>
        <v>40447.968000000001</v>
      </c>
      <c r="F2100" s="222">
        <f>1/20</f>
        <v>0.05</v>
      </c>
      <c r="G2100" s="224">
        <f>F2100*E2100</f>
        <v>2022.3984</v>
      </c>
    </row>
    <row r="2101" spans="1:7" s="1088" customFormat="1" ht="14.25" x14ac:dyDescent="0.2">
      <c r="A2101" s="209" t="s">
        <v>140</v>
      </c>
      <c r="B2101" s="259"/>
      <c r="C2101" s="260">
        <f>M3</f>
        <v>40000</v>
      </c>
      <c r="D2101" s="261">
        <f>N3</f>
        <v>1.76</v>
      </c>
      <c r="E2101" s="276">
        <f>C2101*D2101</f>
        <v>70400</v>
      </c>
      <c r="F2101" s="222">
        <f>1/20</f>
        <v>0.05</v>
      </c>
      <c r="G2101" s="224">
        <f>F2101*E2101</f>
        <v>3520</v>
      </c>
    </row>
    <row r="2102" spans="1:7" s="1088" customFormat="1" ht="14.25" x14ac:dyDescent="0.2">
      <c r="A2102" s="209"/>
      <c r="B2102" s="245"/>
      <c r="C2102" s="265"/>
      <c r="D2102" s="246"/>
      <c r="E2102" s="265"/>
      <c r="F2102" s="266"/>
      <c r="G2102" s="267"/>
    </row>
    <row r="2103" spans="1:7" s="1088" customFormat="1" ht="14.25" x14ac:dyDescent="0.2">
      <c r="A2103" s="249"/>
      <c r="B2103" s="250"/>
      <c r="C2103" s="252"/>
      <c r="D2103" s="251"/>
      <c r="E2103" s="252"/>
      <c r="F2103" s="254"/>
      <c r="G2103" s="268"/>
    </row>
    <row r="2104" spans="1:7" s="1088" customFormat="1" ht="15" x14ac:dyDescent="0.25">
      <c r="A2104" s="209"/>
      <c r="B2104" s="212"/>
      <c r="C2104" s="211"/>
      <c r="D2104" s="212"/>
      <c r="E2104" s="269"/>
      <c r="F2104" s="269" t="s">
        <v>121</v>
      </c>
      <c r="G2104" s="270">
        <f>+SUM(G2100:G2103)</f>
        <v>5542.3984</v>
      </c>
    </row>
    <row r="2105" spans="1:7" s="1088" customFormat="1" ht="15" x14ac:dyDescent="0.25">
      <c r="A2105" s="209"/>
      <c r="B2105" s="212"/>
      <c r="C2105" s="211"/>
      <c r="D2105" s="212"/>
      <c r="E2105" s="257"/>
      <c r="F2105" s="257"/>
      <c r="G2105" s="271"/>
    </row>
    <row r="2106" spans="1:7" s="1088" customFormat="1" ht="15" x14ac:dyDescent="0.25">
      <c r="A2106" s="216" t="s">
        <v>135</v>
      </c>
      <c r="B2106" s="212"/>
      <c r="C2106" s="211"/>
      <c r="D2106" s="212"/>
      <c r="E2106" s="213"/>
      <c r="F2106" s="214"/>
      <c r="G2106" s="215"/>
    </row>
    <row r="2107" spans="1:7" s="1088" customFormat="1" ht="14.25" x14ac:dyDescent="0.2">
      <c r="A2107" s="209"/>
      <c r="B2107" s="212"/>
      <c r="C2107" s="211"/>
      <c r="D2107" s="212"/>
      <c r="E2107" s="213"/>
      <c r="F2107" s="214"/>
      <c r="G2107" s="215"/>
    </row>
    <row r="2108" spans="1:7" s="1088" customFormat="1" ht="15" x14ac:dyDescent="0.25">
      <c r="A2108" s="1071" t="s">
        <v>116</v>
      </c>
      <c r="B2108" s="1072"/>
      <c r="C2108" s="236" t="s">
        <v>117</v>
      </c>
      <c r="D2108" s="235" t="s">
        <v>136</v>
      </c>
      <c r="E2108" s="236" t="s">
        <v>124</v>
      </c>
      <c r="F2108" s="237" t="s">
        <v>126</v>
      </c>
      <c r="G2108" s="238" t="s">
        <v>134</v>
      </c>
    </row>
    <row r="2109" spans="1:7" s="1088" customFormat="1" ht="14.25" x14ac:dyDescent="0.2">
      <c r="A2109" s="209" t="s">
        <v>175</v>
      </c>
      <c r="B2109" s="286"/>
      <c r="C2109" s="287" t="s">
        <v>79</v>
      </c>
      <c r="D2109" s="261"/>
      <c r="E2109" s="276">
        <v>68000</v>
      </c>
      <c r="F2109" s="222">
        <f>1/80</f>
        <v>1.2500000000000001E-2</v>
      </c>
      <c r="G2109" s="224">
        <f>F2109*E2109</f>
        <v>850</v>
      </c>
    </row>
    <row r="2110" spans="1:7" s="1088" customFormat="1" ht="14.25" x14ac:dyDescent="0.2">
      <c r="A2110" s="209"/>
      <c r="B2110" s="275"/>
      <c r="C2110" s="260"/>
      <c r="D2110" s="261"/>
      <c r="E2110" s="276"/>
      <c r="F2110" s="222"/>
      <c r="G2110" s="224"/>
    </row>
    <row r="2111" spans="1:7" s="1088" customFormat="1" ht="14.25" x14ac:dyDescent="0.2">
      <c r="A2111" s="209"/>
      <c r="B2111" s="259"/>
      <c r="C2111" s="260"/>
      <c r="D2111" s="261"/>
      <c r="E2111" s="276"/>
      <c r="F2111" s="222"/>
      <c r="G2111" s="224"/>
    </row>
    <row r="2112" spans="1:7" s="1088" customFormat="1" ht="14.25" x14ac:dyDescent="0.2">
      <c r="A2112" s="209"/>
      <c r="B2112" s="259"/>
      <c r="C2112" s="260"/>
      <c r="D2112" s="261"/>
      <c r="E2112" s="276"/>
      <c r="F2112" s="222"/>
      <c r="G2112" s="224"/>
    </row>
    <row r="2113" spans="1:8" s="1088" customFormat="1" ht="14.25" x14ac:dyDescent="0.2">
      <c r="A2113" s="209"/>
      <c r="B2113" s="245"/>
      <c r="C2113" s="265"/>
      <c r="D2113" s="246"/>
      <c r="E2113" s="265"/>
      <c r="F2113" s="266"/>
      <c r="G2113" s="267"/>
    </row>
    <row r="2114" spans="1:8" s="1088" customFormat="1" ht="14.25" x14ac:dyDescent="0.2">
      <c r="A2114" s="249"/>
      <c r="B2114" s="250"/>
      <c r="C2114" s="252"/>
      <c r="D2114" s="251"/>
      <c r="E2114" s="252"/>
      <c r="F2114" s="254"/>
      <c r="G2114" s="268"/>
    </row>
    <row r="2115" spans="1:8" s="1088" customFormat="1" ht="15" x14ac:dyDescent="0.25">
      <c r="A2115" s="209"/>
      <c r="B2115" s="212"/>
      <c r="C2115" s="211"/>
      <c r="D2115" s="212"/>
      <c r="E2115" s="269"/>
      <c r="F2115" s="269" t="s">
        <v>121</v>
      </c>
      <c r="G2115" s="270">
        <f>+SUM(G2109:G2114)</f>
        <v>850</v>
      </c>
    </row>
    <row r="2116" spans="1:8" s="1088" customFormat="1" ht="14.25" x14ac:dyDescent="0.2">
      <c r="A2116" s="209"/>
      <c r="B2116" s="212"/>
      <c r="C2116" s="211"/>
      <c r="D2116" s="212"/>
      <c r="E2116" s="213"/>
      <c r="F2116" s="214"/>
      <c r="G2116" s="271"/>
    </row>
    <row r="2117" spans="1:8" s="1088" customFormat="1" ht="15" x14ac:dyDescent="0.25">
      <c r="A2117" s="277"/>
      <c r="B2117" s="278"/>
      <c r="C2117" s="278"/>
      <c r="D2117" s="278"/>
      <c r="E2117" s="279"/>
      <c r="F2117" s="280" t="s">
        <v>137</v>
      </c>
      <c r="G2117" s="283">
        <f>+ROUND(G2085+G2095+G2104+G2115,0)</f>
        <v>16670</v>
      </c>
      <c r="H2117" s="1090"/>
    </row>
    <row r="2118" spans="1:8" s="1088" customFormat="1" ht="14.25" x14ac:dyDescent="0.2">
      <c r="A2118" s="212"/>
      <c r="B2118" s="212"/>
      <c r="C2118" s="212"/>
      <c r="D2118" s="212"/>
      <c r="E2118" s="211"/>
      <c r="F2118" s="211"/>
      <c r="G2118" s="211"/>
      <c r="H2118" s="211"/>
    </row>
    <row r="2119" spans="1:8" s="1088" customFormat="1" ht="15" x14ac:dyDescent="0.25">
      <c r="A2119" s="145" t="s">
        <v>160</v>
      </c>
      <c r="B2119" s="1262" t="s">
        <v>161</v>
      </c>
      <c r="C2119" s="1263"/>
      <c r="D2119" s="1263"/>
      <c r="E2119" s="1263"/>
      <c r="F2119" s="1264"/>
      <c r="G2119" s="146" t="s">
        <v>2</v>
      </c>
    </row>
    <row r="2120" spans="1:8" s="1088" customFormat="1" ht="15" x14ac:dyDescent="0.25">
      <c r="A2120" s="208">
        <f>'FORMATO PROPUESTA ECONÓMICA'!A67</f>
        <v>7.5</v>
      </c>
      <c r="B2120" s="1265" t="str">
        <f>'FORMATO PROPUESTA ECONÓMICA'!B67</f>
        <v>Silleta socket PN 10, agua de 90mm con salida 20 mm</v>
      </c>
      <c r="C2120" s="1266"/>
      <c r="D2120" s="1266"/>
      <c r="E2120" s="1266"/>
      <c r="F2120" s="1267"/>
      <c r="G2120" s="187" t="str">
        <f>'FORMATO PROPUESTA ECONÓMICA'!C67</f>
        <v>und</v>
      </c>
    </row>
    <row r="2121" spans="1:8" s="1088" customFormat="1" ht="14.25" x14ac:dyDescent="0.2">
      <c r="A2121" s="209"/>
      <c r="B2121" s="210"/>
      <c r="C2121" s="211"/>
      <c r="D2121" s="212"/>
      <c r="E2121" s="213"/>
      <c r="F2121" s="214"/>
      <c r="G2121" s="215"/>
    </row>
    <row r="2122" spans="1:8" s="1088" customFormat="1" ht="15" x14ac:dyDescent="0.25">
      <c r="A2122" s="216" t="s">
        <v>115</v>
      </c>
      <c r="B2122" s="212"/>
      <c r="C2122" s="211"/>
      <c r="D2122" s="212"/>
      <c r="E2122" s="213"/>
      <c r="F2122" s="214"/>
      <c r="G2122" s="215"/>
    </row>
    <row r="2123" spans="1:8" s="1088" customFormat="1" ht="14.25" x14ac:dyDescent="0.2">
      <c r="A2123" s="209"/>
      <c r="B2123" s="212"/>
      <c r="C2123" s="211"/>
      <c r="D2123" s="212"/>
      <c r="E2123" s="213"/>
      <c r="F2123" s="214"/>
      <c r="G2123" s="215"/>
    </row>
    <row r="2124" spans="1:8" s="1088" customFormat="1" ht="15" x14ac:dyDescent="0.25">
      <c r="A2124" s="1075" t="s">
        <v>116</v>
      </c>
      <c r="B2124" s="1076"/>
      <c r="C2124" s="217" t="s">
        <v>117</v>
      </c>
      <c r="D2124" s="1075" t="s">
        <v>118</v>
      </c>
      <c r="E2124" s="218" t="s">
        <v>39</v>
      </c>
      <c r="F2124" s="1075" t="s">
        <v>119</v>
      </c>
      <c r="G2124" s="219" t="s">
        <v>120</v>
      </c>
    </row>
    <row r="2125" spans="1:8" s="1088" customFormat="1" ht="15" customHeight="1" x14ac:dyDescent="0.2">
      <c r="A2125" s="209"/>
      <c r="B2125" s="286"/>
      <c r="C2125" s="220"/>
      <c r="D2125" s="261"/>
      <c r="E2125" s="276"/>
      <c r="F2125" s="222"/>
      <c r="G2125" s="224"/>
    </row>
    <row r="2126" spans="1:8" s="1088" customFormat="1" ht="14.25" x14ac:dyDescent="0.2">
      <c r="A2126" s="1060"/>
      <c r="B2126" s="1068"/>
      <c r="C2126" s="225"/>
      <c r="D2126" s="221"/>
      <c r="E2126" s="226"/>
      <c r="F2126" s="227"/>
      <c r="G2126" s="228">
        <f>D2126*E2126</f>
        <v>0</v>
      </c>
    </row>
    <row r="2127" spans="1:8" s="1088" customFormat="1" ht="14.25" x14ac:dyDescent="0.2">
      <c r="A2127" s="1060"/>
      <c r="B2127" s="1068"/>
      <c r="C2127" s="229"/>
      <c r="D2127" s="221"/>
      <c r="E2127" s="226"/>
      <c r="F2127" s="227"/>
      <c r="G2127" s="228">
        <f>D2127*E2127</f>
        <v>0</v>
      </c>
    </row>
    <row r="2128" spans="1:8" s="1088" customFormat="1" ht="14.25" x14ac:dyDescent="0.2">
      <c r="A2128" s="1060"/>
      <c r="B2128" s="1068"/>
      <c r="C2128" s="225"/>
      <c r="D2128" s="221"/>
      <c r="E2128" s="226"/>
      <c r="F2128" s="227"/>
      <c r="G2128" s="228">
        <f>D2128*E2128</f>
        <v>0</v>
      </c>
    </row>
    <row r="2129" spans="1:7" s="1088" customFormat="1" ht="14.25" x14ac:dyDescent="0.2">
      <c r="A2129" s="1069"/>
      <c r="B2129" s="1070"/>
      <c r="C2129" s="230"/>
      <c r="D2129" s="231"/>
      <c r="E2129" s="232"/>
      <c r="F2129" s="233"/>
      <c r="G2129" s="228">
        <f>D2129*E2129</f>
        <v>0</v>
      </c>
    </row>
    <row r="2130" spans="1:7" s="1088" customFormat="1" ht="15" x14ac:dyDescent="0.25">
      <c r="A2130" s="1073"/>
      <c r="B2130" s="210"/>
      <c r="C2130" s="211"/>
      <c r="D2130" s="212"/>
      <c r="E2130" s="212"/>
      <c r="F2130" s="234" t="s">
        <v>121</v>
      </c>
      <c r="G2130" s="231">
        <f>+SUM(G2125:G2129)</f>
        <v>0</v>
      </c>
    </row>
    <row r="2131" spans="1:7" s="1088" customFormat="1" ht="14.25" x14ac:dyDescent="0.2">
      <c r="A2131" s="209"/>
      <c r="B2131" s="212"/>
      <c r="C2131" s="211" t="s">
        <v>123</v>
      </c>
      <c r="D2131" s="212"/>
      <c r="E2131" s="213"/>
      <c r="F2131" s="214"/>
      <c r="G2131" s="215"/>
    </row>
    <row r="2132" spans="1:7" s="1088" customFormat="1" ht="15" x14ac:dyDescent="0.25">
      <c r="A2132" s="216" t="s">
        <v>122</v>
      </c>
      <c r="B2132" s="212"/>
      <c r="C2132" s="211" t="s">
        <v>123</v>
      </c>
      <c r="D2132" s="212"/>
      <c r="E2132" s="213"/>
      <c r="F2132" s="214"/>
      <c r="G2132" s="215"/>
    </row>
    <row r="2133" spans="1:7" s="1088" customFormat="1" ht="14.25" x14ac:dyDescent="0.2">
      <c r="A2133" s="209"/>
      <c r="B2133" s="212"/>
      <c r="C2133" s="211"/>
      <c r="D2133" s="212"/>
      <c r="E2133" s="213"/>
      <c r="F2133" s="214"/>
      <c r="G2133" s="215"/>
    </row>
    <row r="2134" spans="1:7" s="1088" customFormat="1" ht="15" x14ac:dyDescent="0.25">
      <c r="A2134" s="1071" t="s">
        <v>116</v>
      </c>
      <c r="B2134" s="1072"/>
      <c r="C2134" s="235" t="s">
        <v>117</v>
      </c>
      <c r="D2134" s="236" t="s">
        <v>124</v>
      </c>
      <c r="E2134" s="236" t="s">
        <v>125</v>
      </c>
      <c r="F2134" s="237" t="s">
        <v>126</v>
      </c>
      <c r="G2134" s="238" t="s">
        <v>120</v>
      </c>
    </row>
    <row r="2135" spans="1:7" s="1088" customFormat="1" ht="28.5" x14ac:dyDescent="0.2">
      <c r="A2135" s="1066" t="s">
        <v>127</v>
      </c>
      <c r="B2135" s="1067"/>
      <c r="C2135" s="239" t="s">
        <v>128</v>
      </c>
      <c r="D2135" s="240"/>
      <c r="E2135" s="241"/>
      <c r="F2135" s="222"/>
      <c r="G2135" s="242">
        <f>G2149*0.05</f>
        <v>277.11992000000004</v>
      </c>
    </row>
    <row r="2136" spans="1:7" s="1088" customFormat="1" ht="14.25" x14ac:dyDescent="0.2">
      <c r="A2136" s="1073" t="s">
        <v>174</v>
      </c>
      <c r="B2136" s="1074"/>
      <c r="C2136" s="243" t="s">
        <v>176</v>
      </c>
      <c r="D2136" s="221">
        <v>200000</v>
      </c>
      <c r="E2136" s="244"/>
      <c r="F2136" s="222">
        <v>20</v>
      </c>
      <c r="G2136" s="224">
        <f>D2136/F2136</f>
        <v>10000</v>
      </c>
    </row>
    <row r="2137" spans="1:7" s="1088" customFormat="1" ht="14.25" x14ac:dyDescent="0.2">
      <c r="A2137" s="1073"/>
      <c r="B2137" s="1074"/>
      <c r="C2137" s="243"/>
      <c r="D2137" s="221"/>
      <c r="E2137" s="244"/>
      <c r="F2137" s="222"/>
      <c r="G2137" s="224"/>
    </row>
    <row r="2138" spans="1:7" s="1088" customFormat="1" ht="14.25" x14ac:dyDescent="0.2">
      <c r="A2138" s="209"/>
      <c r="B2138" s="245"/>
      <c r="C2138" s="246"/>
      <c r="D2138" s="221"/>
      <c r="E2138" s="247"/>
      <c r="F2138" s="222"/>
      <c r="G2138" s="248"/>
    </row>
    <row r="2139" spans="1:7" s="1088" customFormat="1" ht="14.25" x14ac:dyDescent="0.2">
      <c r="A2139" s="249"/>
      <c r="B2139" s="250"/>
      <c r="C2139" s="251"/>
      <c r="D2139" s="252"/>
      <c r="E2139" s="253"/>
      <c r="F2139" s="254"/>
      <c r="G2139" s="255"/>
    </row>
    <row r="2140" spans="1:7" s="1088" customFormat="1" ht="15" x14ac:dyDescent="0.25">
      <c r="A2140" s="209"/>
      <c r="B2140" s="214"/>
      <c r="C2140" s="256"/>
      <c r="D2140" s="214"/>
      <c r="E2140" s="212"/>
      <c r="F2140" s="257" t="s">
        <v>121</v>
      </c>
      <c r="G2140" s="258">
        <f>+SUM(G2135:G2139)</f>
        <v>10277.119919999999</v>
      </c>
    </row>
    <row r="2141" spans="1:7" s="1088" customFormat="1" ht="14.25" x14ac:dyDescent="0.2">
      <c r="A2141" s="209"/>
      <c r="B2141" s="212"/>
      <c r="C2141" s="211"/>
      <c r="D2141" s="212"/>
      <c r="E2141" s="213"/>
      <c r="F2141" s="212"/>
      <c r="G2141" s="215"/>
    </row>
    <row r="2142" spans="1:7" s="1088" customFormat="1" ht="15" x14ac:dyDescent="0.25">
      <c r="A2142" s="216" t="s">
        <v>130</v>
      </c>
      <c r="B2142" s="212"/>
      <c r="C2142" s="211"/>
      <c r="D2142" s="212"/>
      <c r="E2142" s="213"/>
      <c r="F2142" s="214"/>
      <c r="G2142" s="215"/>
    </row>
    <row r="2143" spans="1:7" s="1088" customFormat="1" ht="14.25" x14ac:dyDescent="0.2">
      <c r="A2143" s="209"/>
      <c r="B2143" s="212"/>
      <c r="C2143" s="211"/>
      <c r="D2143" s="212"/>
      <c r="E2143" s="213"/>
      <c r="F2143" s="214"/>
      <c r="G2143" s="215"/>
    </row>
    <row r="2144" spans="1:7" s="1088" customFormat="1" ht="15" x14ac:dyDescent="0.25">
      <c r="A2144" s="1071" t="s">
        <v>116</v>
      </c>
      <c r="B2144" s="1072"/>
      <c r="C2144" s="236" t="s">
        <v>131</v>
      </c>
      <c r="D2144" s="235" t="s">
        <v>132</v>
      </c>
      <c r="E2144" s="236" t="s">
        <v>133</v>
      </c>
      <c r="F2144" s="237" t="s">
        <v>126</v>
      </c>
      <c r="G2144" s="238" t="s">
        <v>134</v>
      </c>
    </row>
    <row r="2145" spans="1:7" s="1088" customFormat="1" ht="14.25" x14ac:dyDescent="0.2">
      <c r="A2145" s="209" t="s">
        <v>10</v>
      </c>
      <c r="B2145" s="259"/>
      <c r="C2145" s="260">
        <f>M2</f>
        <v>22981.8</v>
      </c>
      <c r="D2145" s="261">
        <f>N2</f>
        <v>1.76</v>
      </c>
      <c r="E2145" s="276">
        <f>C2145*D2145</f>
        <v>40447.968000000001</v>
      </c>
      <c r="F2145" s="222">
        <f>1/20</f>
        <v>0.05</v>
      </c>
      <c r="G2145" s="224">
        <f>F2145*E2145</f>
        <v>2022.3984</v>
      </c>
    </row>
    <row r="2146" spans="1:7" s="1088" customFormat="1" ht="14.25" x14ac:dyDescent="0.2">
      <c r="A2146" s="209" t="s">
        <v>140</v>
      </c>
      <c r="B2146" s="259"/>
      <c r="C2146" s="260">
        <f>M3</f>
        <v>40000</v>
      </c>
      <c r="D2146" s="261">
        <f>N3</f>
        <v>1.76</v>
      </c>
      <c r="E2146" s="276">
        <f>C2146*D2146</f>
        <v>70400</v>
      </c>
      <c r="F2146" s="222">
        <f>1/20</f>
        <v>0.05</v>
      </c>
      <c r="G2146" s="224">
        <f>F2146*E2146</f>
        <v>3520</v>
      </c>
    </row>
    <row r="2147" spans="1:7" s="1088" customFormat="1" ht="14.25" x14ac:dyDescent="0.2">
      <c r="A2147" s="209"/>
      <c r="B2147" s="245"/>
      <c r="C2147" s="265"/>
      <c r="D2147" s="246"/>
      <c r="E2147" s="265"/>
      <c r="F2147" s="266"/>
      <c r="G2147" s="267"/>
    </row>
    <row r="2148" spans="1:7" s="1088" customFormat="1" ht="14.25" x14ac:dyDescent="0.2">
      <c r="A2148" s="249"/>
      <c r="B2148" s="250"/>
      <c r="C2148" s="252"/>
      <c r="D2148" s="251"/>
      <c r="E2148" s="252"/>
      <c r="F2148" s="254"/>
      <c r="G2148" s="268"/>
    </row>
    <row r="2149" spans="1:7" s="1088" customFormat="1" ht="15" x14ac:dyDescent="0.25">
      <c r="A2149" s="209"/>
      <c r="B2149" s="212"/>
      <c r="C2149" s="211"/>
      <c r="D2149" s="212"/>
      <c r="E2149" s="269"/>
      <c r="F2149" s="269" t="s">
        <v>121</v>
      </c>
      <c r="G2149" s="270">
        <f>+SUM(G2145:G2148)</f>
        <v>5542.3984</v>
      </c>
    </row>
    <row r="2150" spans="1:7" s="1088" customFormat="1" ht="15" x14ac:dyDescent="0.25">
      <c r="A2150" s="209"/>
      <c r="B2150" s="212"/>
      <c r="C2150" s="211"/>
      <c r="D2150" s="212"/>
      <c r="E2150" s="257"/>
      <c r="F2150" s="257"/>
      <c r="G2150" s="271"/>
    </row>
    <row r="2151" spans="1:7" s="1088" customFormat="1" ht="15" x14ac:dyDescent="0.25">
      <c r="A2151" s="216" t="s">
        <v>135</v>
      </c>
      <c r="B2151" s="212"/>
      <c r="C2151" s="211"/>
      <c r="D2151" s="212"/>
      <c r="E2151" s="213"/>
      <c r="F2151" s="214"/>
      <c r="G2151" s="215"/>
    </row>
    <row r="2152" spans="1:7" s="1088" customFormat="1" ht="14.25" x14ac:dyDescent="0.2">
      <c r="A2152" s="209"/>
      <c r="B2152" s="212"/>
      <c r="C2152" s="211"/>
      <c r="D2152" s="212"/>
      <c r="E2152" s="213"/>
      <c r="F2152" s="214"/>
      <c r="G2152" s="215"/>
    </row>
    <row r="2153" spans="1:7" s="1088" customFormat="1" ht="15" x14ac:dyDescent="0.25">
      <c r="A2153" s="1071" t="s">
        <v>116</v>
      </c>
      <c r="B2153" s="1072"/>
      <c r="C2153" s="236" t="s">
        <v>117</v>
      </c>
      <c r="D2153" s="235" t="s">
        <v>136</v>
      </c>
      <c r="E2153" s="236" t="s">
        <v>124</v>
      </c>
      <c r="F2153" s="237" t="s">
        <v>126</v>
      </c>
      <c r="G2153" s="238" t="s">
        <v>134</v>
      </c>
    </row>
    <row r="2154" spans="1:7" s="1088" customFormat="1" ht="14.25" x14ac:dyDescent="0.2">
      <c r="A2154" s="209" t="s">
        <v>175</v>
      </c>
      <c r="B2154" s="286"/>
      <c r="C2154" s="287" t="s">
        <v>79</v>
      </c>
      <c r="D2154" s="261"/>
      <c r="E2154" s="276">
        <v>68000</v>
      </c>
      <c r="F2154" s="222">
        <f>1/80</f>
        <v>1.2500000000000001E-2</v>
      </c>
      <c r="G2154" s="224">
        <f>F2154*E2154</f>
        <v>850</v>
      </c>
    </row>
    <row r="2155" spans="1:7" s="1088" customFormat="1" ht="14.25" x14ac:dyDescent="0.2">
      <c r="A2155" s="209"/>
      <c r="B2155" s="275"/>
      <c r="C2155" s="260"/>
      <c r="D2155" s="261"/>
      <c r="E2155" s="276"/>
      <c r="F2155" s="222"/>
      <c r="G2155" s="224"/>
    </row>
    <row r="2156" spans="1:7" s="1088" customFormat="1" ht="14.25" x14ac:dyDescent="0.2">
      <c r="A2156" s="209"/>
      <c r="B2156" s="259"/>
      <c r="C2156" s="260"/>
      <c r="D2156" s="261"/>
      <c r="E2156" s="276"/>
      <c r="F2156" s="222"/>
      <c r="G2156" s="224"/>
    </row>
    <row r="2157" spans="1:7" s="1088" customFormat="1" ht="14.25" x14ac:dyDescent="0.2">
      <c r="A2157" s="209"/>
      <c r="B2157" s="259"/>
      <c r="C2157" s="260"/>
      <c r="D2157" s="261"/>
      <c r="E2157" s="276"/>
      <c r="F2157" s="222"/>
      <c r="G2157" s="224"/>
    </row>
    <row r="2158" spans="1:7" s="1088" customFormat="1" ht="14.25" x14ac:dyDescent="0.2">
      <c r="A2158" s="209"/>
      <c r="B2158" s="245"/>
      <c r="C2158" s="265"/>
      <c r="D2158" s="246"/>
      <c r="E2158" s="265"/>
      <c r="F2158" s="266"/>
      <c r="G2158" s="267"/>
    </row>
    <row r="2159" spans="1:7" s="1088" customFormat="1" ht="14.25" x14ac:dyDescent="0.2">
      <c r="A2159" s="249"/>
      <c r="B2159" s="250"/>
      <c r="C2159" s="252"/>
      <c r="D2159" s="251"/>
      <c r="E2159" s="252"/>
      <c r="F2159" s="254"/>
      <c r="G2159" s="268"/>
    </row>
    <row r="2160" spans="1:7" s="1088" customFormat="1" ht="15" x14ac:dyDescent="0.25">
      <c r="A2160" s="209"/>
      <c r="B2160" s="212"/>
      <c r="C2160" s="211"/>
      <c r="D2160" s="212"/>
      <c r="E2160" s="269"/>
      <c r="F2160" s="269" t="s">
        <v>121</v>
      </c>
      <c r="G2160" s="270">
        <f>+SUM(G2154:G2159)</f>
        <v>850</v>
      </c>
    </row>
    <row r="2161" spans="1:8" s="1088" customFormat="1" ht="14.25" x14ac:dyDescent="0.2">
      <c r="A2161" s="209"/>
      <c r="B2161" s="212"/>
      <c r="C2161" s="211"/>
      <c r="D2161" s="212"/>
      <c r="E2161" s="213"/>
      <c r="F2161" s="214"/>
      <c r="G2161" s="271"/>
    </row>
    <row r="2162" spans="1:8" s="1088" customFormat="1" ht="15" x14ac:dyDescent="0.25">
      <c r="A2162" s="277"/>
      <c r="B2162" s="278"/>
      <c r="C2162" s="278"/>
      <c r="D2162" s="278"/>
      <c r="E2162" s="279"/>
      <c r="F2162" s="280" t="s">
        <v>137</v>
      </c>
      <c r="G2162" s="283">
        <f>+ROUND(G2130+G2140+G2149+G2160,0)</f>
        <v>16670</v>
      </c>
      <c r="H2162" s="1090"/>
    </row>
    <row r="2163" spans="1:8" s="1088" customFormat="1" ht="15" x14ac:dyDescent="0.25">
      <c r="A2163" s="277"/>
      <c r="B2163" s="278"/>
      <c r="C2163" s="278"/>
      <c r="D2163" s="278"/>
      <c r="E2163" s="279"/>
      <c r="F2163" s="280"/>
      <c r="G2163" s="280"/>
      <c r="H2163" s="1090"/>
    </row>
    <row r="2164" spans="1:8" s="1088" customFormat="1" ht="15" x14ac:dyDescent="0.25">
      <c r="A2164" s="145" t="s">
        <v>160</v>
      </c>
      <c r="B2164" s="1262" t="s">
        <v>161</v>
      </c>
      <c r="C2164" s="1263"/>
      <c r="D2164" s="1263"/>
      <c r="E2164" s="1263"/>
      <c r="F2164" s="1264"/>
      <c r="G2164" s="146" t="s">
        <v>2</v>
      </c>
    </row>
    <row r="2165" spans="1:8" s="1088" customFormat="1" ht="15" x14ac:dyDescent="0.25">
      <c r="A2165" s="208">
        <f>'FORMATO PROPUESTA ECONÓMICA'!A68</f>
        <v>7.6</v>
      </c>
      <c r="B2165" s="1265" t="str">
        <f>'FORMATO PROPUESTA ECONÓMICA'!B68</f>
        <v>Silleta socket PN 10, agua de 90mm con salida 25 mm</v>
      </c>
      <c r="C2165" s="1266"/>
      <c r="D2165" s="1266"/>
      <c r="E2165" s="1266"/>
      <c r="F2165" s="1267"/>
      <c r="G2165" s="187" t="str">
        <f>'FORMATO PROPUESTA ECONÓMICA'!C68</f>
        <v>und</v>
      </c>
    </row>
    <row r="2166" spans="1:8" s="1088" customFormat="1" ht="14.25" x14ac:dyDescent="0.2">
      <c r="A2166" s="209"/>
      <c r="B2166" s="210"/>
      <c r="C2166" s="211"/>
      <c r="D2166" s="212"/>
      <c r="E2166" s="213"/>
      <c r="F2166" s="214"/>
      <c r="G2166" s="215"/>
    </row>
    <row r="2167" spans="1:8" s="1088" customFormat="1" ht="15" x14ac:dyDescent="0.25">
      <c r="A2167" s="216" t="s">
        <v>115</v>
      </c>
      <c r="B2167" s="212"/>
      <c r="C2167" s="211"/>
      <c r="D2167" s="212"/>
      <c r="E2167" s="213"/>
      <c r="F2167" s="214"/>
      <c r="G2167" s="215"/>
    </row>
    <row r="2168" spans="1:8" s="1088" customFormat="1" ht="14.25" x14ac:dyDescent="0.2">
      <c r="A2168" s="209"/>
      <c r="B2168" s="212"/>
      <c r="C2168" s="211"/>
      <c r="D2168" s="212"/>
      <c r="E2168" s="213"/>
      <c r="F2168" s="214"/>
      <c r="G2168" s="215"/>
    </row>
    <row r="2169" spans="1:8" s="1088" customFormat="1" ht="15" x14ac:dyDescent="0.25">
      <c r="A2169" s="1075" t="s">
        <v>116</v>
      </c>
      <c r="B2169" s="1076"/>
      <c r="C2169" s="217" t="s">
        <v>117</v>
      </c>
      <c r="D2169" s="1075" t="s">
        <v>118</v>
      </c>
      <c r="E2169" s="218" t="s">
        <v>39</v>
      </c>
      <c r="F2169" s="1075" t="s">
        <v>119</v>
      </c>
      <c r="G2169" s="219" t="s">
        <v>120</v>
      </c>
    </row>
    <row r="2170" spans="1:8" s="1088" customFormat="1" ht="15" customHeight="1" x14ac:dyDescent="0.2">
      <c r="A2170" s="209"/>
      <c r="B2170" s="286"/>
      <c r="C2170" s="220"/>
      <c r="D2170" s="261"/>
      <c r="E2170" s="276"/>
      <c r="F2170" s="222"/>
      <c r="G2170" s="224"/>
    </row>
    <row r="2171" spans="1:8" s="1088" customFormat="1" ht="14.25" x14ac:dyDescent="0.2">
      <c r="A2171" s="1060"/>
      <c r="B2171" s="1068"/>
      <c r="C2171" s="225"/>
      <c r="D2171" s="221"/>
      <c r="E2171" s="226"/>
      <c r="F2171" s="227"/>
      <c r="G2171" s="228">
        <f>D2171*E2171</f>
        <v>0</v>
      </c>
    </row>
    <row r="2172" spans="1:8" s="1088" customFormat="1" ht="14.25" x14ac:dyDescent="0.2">
      <c r="A2172" s="1060"/>
      <c r="B2172" s="1068"/>
      <c r="C2172" s="229"/>
      <c r="D2172" s="221"/>
      <c r="E2172" s="226"/>
      <c r="F2172" s="227"/>
      <c r="G2172" s="228">
        <f>D2172*E2172</f>
        <v>0</v>
      </c>
    </row>
    <row r="2173" spans="1:8" s="1088" customFormat="1" ht="14.25" x14ac:dyDescent="0.2">
      <c r="A2173" s="1060"/>
      <c r="B2173" s="1068"/>
      <c r="C2173" s="225"/>
      <c r="D2173" s="221"/>
      <c r="E2173" s="226"/>
      <c r="F2173" s="227"/>
      <c r="G2173" s="228">
        <f>D2173*E2173</f>
        <v>0</v>
      </c>
    </row>
    <row r="2174" spans="1:8" s="1088" customFormat="1" ht="14.25" x14ac:dyDescent="0.2">
      <c r="A2174" s="1069"/>
      <c r="B2174" s="1070"/>
      <c r="C2174" s="230"/>
      <c r="D2174" s="231"/>
      <c r="E2174" s="232"/>
      <c r="F2174" s="233"/>
      <c r="G2174" s="228">
        <f>D2174*E2174</f>
        <v>0</v>
      </c>
    </row>
    <row r="2175" spans="1:8" s="1088" customFormat="1" ht="15" x14ac:dyDescent="0.25">
      <c r="A2175" s="1073"/>
      <c r="B2175" s="210"/>
      <c r="C2175" s="211"/>
      <c r="D2175" s="212"/>
      <c r="E2175" s="212"/>
      <c r="F2175" s="234" t="s">
        <v>121</v>
      </c>
      <c r="G2175" s="231">
        <f>+SUM(G2170:G2174)</f>
        <v>0</v>
      </c>
    </row>
    <row r="2176" spans="1:8" s="1088" customFormat="1" ht="14.25" x14ac:dyDescent="0.2">
      <c r="A2176" s="209"/>
      <c r="B2176" s="212"/>
      <c r="C2176" s="211" t="s">
        <v>123</v>
      </c>
      <c r="D2176" s="212"/>
      <c r="E2176" s="213"/>
      <c r="F2176" s="214"/>
      <c r="G2176" s="215"/>
    </row>
    <row r="2177" spans="1:7" s="1088" customFormat="1" ht="15" x14ac:dyDescent="0.25">
      <c r="A2177" s="216" t="s">
        <v>122</v>
      </c>
      <c r="B2177" s="212"/>
      <c r="C2177" s="211" t="s">
        <v>123</v>
      </c>
      <c r="D2177" s="212"/>
      <c r="E2177" s="213"/>
      <c r="F2177" s="214"/>
      <c r="G2177" s="215"/>
    </row>
    <row r="2178" spans="1:7" s="1088" customFormat="1" ht="14.25" x14ac:dyDescent="0.2">
      <c r="A2178" s="209"/>
      <c r="B2178" s="212"/>
      <c r="C2178" s="211"/>
      <c r="D2178" s="212"/>
      <c r="E2178" s="213"/>
      <c r="F2178" s="214"/>
      <c r="G2178" s="215"/>
    </row>
    <row r="2179" spans="1:7" s="1088" customFormat="1" ht="15" x14ac:dyDescent="0.25">
      <c r="A2179" s="1071" t="s">
        <v>116</v>
      </c>
      <c r="B2179" s="1072"/>
      <c r="C2179" s="235" t="s">
        <v>117</v>
      </c>
      <c r="D2179" s="236" t="s">
        <v>124</v>
      </c>
      <c r="E2179" s="236" t="s">
        <v>125</v>
      </c>
      <c r="F2179" s="237" t="s">
        <v>126</v>
      </c>
      <c r="G2179" s="238" t="s">
        <v>120</v>
      </c>
    </row>
    <row r="2180" spans="1:7" s="1088" customFormat="1" ht="28.5" x14ac:dyDescent="0.2">
      <c r="A2180" s="1066" t="s">
        <v>127</v>
      </c>
      <c r="B2180" s="1067"/>
      <c r="C2180" s="239" t="s">
        <v>128</v>
      </c>
      <c r="D2180" s="240"/>
      <c r="E2180" s="241"/>
      <c r="F2180" s="222"/>
      <c r="G2180" s="242">
        <f>G2194*0.05</f>
        <v>277.11992000000004</v>
      </c>
    </row>
    <row r="2181" spans="1:7" s="1088" customFormat="1" ht="14.25" x14ac:dyDescent="0.2">
      <c r="A2181" s="1073" t="s">
        <v>174</v>
      </c>
      <c r="B2181" s="1074"/>
      <c r="C2181" s="243" t="s">
        <v>176</v>
      </c>
      <c r="D2181" s="221">
        <v>200000</v>
      </c>
      <c r="E2181" s="244"/>
      <c r="F2181" s="222">
        <v>20</v>
      </c>
      <c r="G2181" s="224">
        <f>D2181/F2181</f>
        <v>10000</v>
      </c>
    </row>
    <row r="2182" spans="1:7" s="1088" customFormat="1" ht="14.25" x14ac:dyDescent="0.2">
      <c r="A2182" s="1073"/>
      <c r="B2182" s="1074"/>
      <c r="C2182" s="243"/>
      <c r="D2182" s="221"/>
      <c r="E2182" s="244"/>
      <c r="F2182" s="222"/>
      <c r="G2182" s="224"/>
    </row>
    <row r="2183" spans="1:7" s="1088" customFormat="1" ht="14.25" x14ac:dyDescent="0.2">
      <c r="A2183" s="209"/>
      <c r="B2183" s="245"/>
      <c r="C2183" s="246"/>
      <c r="D2183" s="221"/>
      <c r="E2183" s="247"/>
      <c r="F2183" s="222"/>
      <c r="G2183" s="248"/>
    </row>
    <row r="2184" spans="1:7" s="1088" customFormat="1" ht="14.25" x14ac:dyDescent="0.2">
      <c r="A2184" s="249"/>
      <c r="B2184" s="250"/>
      <c r="C2184" s="251"/>
      <c r="D2184" s="252"/>
      <c r="E2184" s="253"/>
      <c r="F2184" s="254"/>
      <c r="G2184" s="255"/>
    </row>
    <row r="2185" spans="1:7" s="1088" customFormat="1" ht="15" x14ac:dyDescent="0.25">
      <c r="A2185" s="209"/>
      <c r="B2185" s="214"/>
      <c r="C2185" s="256"/>
      <c r="D2185" s="214"/>
      <c r="E2185" s="212"/>
      <c r="F2185" s="257" t="s">
        <v>121</v>
      </c>
      <c r="G2185" s="258">
        <f>+SUM(G2180:G2184)</f>
        <v>10277.119919999999</v>
      </c>
    </row>
    <row r="2186" spans="1:7" s="1088" customFormat="1" ht="14.25" x14ac:dyDescent="0.2">
      <c r="A2186" s="209"/>
      <c r="B2186" s="212"/>
      <c r="C2186" s="211"/>
      <c r="D2186" s="212"/>
      <c r="E2186" s="213"/>
      <c r="F2186" s="212"/>
      <c r="G2186" s="215"/>
    </row>
    <row r="2187" spans="1:7" s="1088" customFormat="1" ht="15" x14ac:dyDescent="0.25">
      <c r="A2187" s="216" t="s">
        <v>130</v>
      </c>
      <c r="B2187" s="212"/>
      <c r="C2187" s="211"/>
      <c r="D2187" s="212"/>
      <c r="E2187" s="213"/>
      <c r="F2187" s="214"/>
      <c r="G2187" s="215"/>
    </row>
    <row r="2188" spans="1:7" s="1088" customFormat="1" ht="14.25" x14ac:dyDescent="0.2">
      <c r="A2188" s="209"/>
      <c r="B2188" s="212"/>
      <c r="C2188" s="211"/>
      <c r="D2188" s="212"/>
      <c r="E2188" s="213"/>
      <c r="F2188" s="214"/>
      <c r="G2188" s="215"/>
    </row>
    <row r="2189" spans="1:7" s="1088" customFormat="1" ht="15" x14ac:dyDescent="0.25">
      <c r="A2189" s="1071" t="s">
        <v>116</v>
      </c>
      <c r="B2189" s="1072"/>
      <c r="C2189" s="236" t="s">
        <v>131</v>
      </c>
      <c r="D2189" s="235" t="s">
        <v>132</v>
      </c>
      <c r="E2189" s="236" t="s">
        <v>133</v>
      </c>
      <c r="F2189" s="237" t="s">
        <v>126</v>
      </c>
      <c r="G2189" s="238" t="s">
        <v>134</v>
      </c>
    </row>
    <row r="2190" spans="1:7" s="1088" customFormat="1" ht="14.25" x14ac:dyDescent="0.2">
      <c r="A2190" s="209" t="s">
        <v>10</v>
      </c>
      <c r="B2190" s="259"/>
      <c r="C2190" s="260">
        <f>M2</f>
        <v>22981.8</v>
      </c>
      <c r="D2190" s="261">
        <f>N2</f>
        <v>1.76</v>
      </c>
      <c r="E2190" s="276">
        <f>C2190*D2190</f>
        <v>40447.968000000001</v>
      </c>
      <c r="F2190" s="222">
        <f>1/20</f>
        <v>0.05</v>
      </c>
      <c r="G2190" s="224">
        <f>F2190*E2190</f>
        <v>2022.3984</v>
      </c>
    </row>
    <row r="2191" spans="1:7" s="1088" customFormat="1" ht="14.25" x14ac:dyDescent="0.2">
      <c r="A2191" s="209" t="s">
        <v>140</v>
      </c>
      <c r="B2191" s="259"/>
      <c r="C2191" s="260">
        <f>M3</f>
        <v>40000</v>
      </c>
      <c r="D2191" s="261">
        <f>N3</f>
        <v>1.76</v>
      </c>
      <c r="E2191" s="276">
        <f>C2191*D2191</f>
        <v>70400</v>
      </c>
      <c r="F2191" s="222">
        <f>1/20</f>
        <v>0.05</v>
      </c>
      <c r="G2191" s="224">
        <f>F2191*E2191</f>
        <v>3520</v>
      </c>
    </row>
    <row r="2192" spans="1:7" s="1088" customFormat="1" ht="14.25" x14ac:dyDescent="0.2">
      <c r="A2192" s="209"/>
      <c r="B2192" s="245"/>
      <c r="C2192" s="265"/>
      <c r="D2192" s="246"/>
      <c r="E2192" s="265"/>
      <c r="F2192" s="266"/>
      <c r="G2192" s="267"/>
    </row>
    <row r="2193" spans="1:8" s="1088" customFormat="1" ht="14.25" x14ac:dyDescent="0.2">
      <c r="A2193" s="249"/>
      <c r="B2193" s="250"/>
      <c r="C2193" s="252"/>
      <c r="D2193" s="251"/>
      <c r="E2193" s="252"/>
      <c r="F2193" s="254"/>
      <c r="G2193" s="268"/>
    </row>
    <row r="2194" spans="1:8" s="1088" customFormat="1" ht="15" x14ac:dyDescent="0.25">
      <c r="A2194" s="209"/>
      <c r="B2194" s="212"/>
      <c r="C2194" s="211"/>
      <c r="D2194" s="212"/>
      <c r="E2194" s="269"/>
      <c r="F2194" s="269" t="s">
        <v>121</v>
      </c>
      <c r="G2194" s="270">
        <f>+SUM(G2190:G2193)</f>
        <v>5542.3984</v>
      </c>
    </row>
    <row r="2195" spans="1:8" s="1088" customFormat="1" ht="15" x14ac:dyDescent="0.25">
      <c r="A2195" s="209"/>
      <c r="B2195" s="212"/>
      <c r="C2195" s="211"/>
      <c r="D2195" s="212"/>
      <c r="E2195" s="257"/>
      <c r="F2195" s="257"/>
      <c r="G2195" s="271"/>
    </row>
    <row r="2196" spans="1:8" s="1088" customFormat="1" ht="15" x14ac:dyDescent="0.25">
      <c r="A2196" s="216" t="s">
        <v>135</v>
      </c>
      <c r="B2196" s="212"/>
      <c r="C2196" s="211"/>
      <c r="D2196" s="212"/>
      <c r="E2196" s="213"/>
      <c r="F2196" s="214"/>
      <c r="G2196" s="215"/>
    </row>
    <row r="2197" spans="1:8" s="1088" customFormat="1" ht="14.25" x14ac:dyDescent="0.2">
      <c r="A2197" s="209"/>
      <c r="B2197" s="212"/>
      <c r="C2197" s="211"/>
      <c r="D2197" s="212"/>
      <c r="E2197" s="213"/>
      <c r="F2197" s="214"/>
      <c r="G2197" s="215"/>
    </row>
    <row r="2198" spans="1:8" s="1088" customFormat="1" ht="15" x14ac:dyDescent="0.25">
      <c r="A2198" s="1071" t="s">
        <v>116</v>
      </c>
      <c r="B2198" s="1072"/>
      <c r="C2198" s="236" t="s">
        <v>117</v>
      </c>
      <c r="D2198" s="235" t="s">
        <v>136</v>
      </c>
      <c r="E2198" s="236" t="s">
        <v>124</v>
      </c>
      <c r="F2198" s="237" t="s">
        <v>126</v>
      </c>
      <c r="G2198" s="238" t="s">
        <v>134</v>
      </c>
    </row>
    <row r="2199" spans="1:8" s="1088" customFormat="1" ht="14.25" x14ac:dyDescent="0.2">
      <c r="A2199" s="209" t="s">
        <v>175</v>
      </c>
      <c r="B2199" s="286"/>
      <c r="C2199" s="287" t="s">
        <v>79</v>
      </c>
      <c r="D2199" s="261"/>
      <c r="E2199" s="276">
        <v>68000</v>
      </c>
      <c r="F2199" s="222">
        <f>1/80</f>
        <v>1.2500000000000001E-2</v>
      </c>
      <c r="G2199" s="224">
        <f>F2199*E2199</f>
        <v>850</v>
      </c>
    </row>
    <row r="2200" spans="1:8" s="1088" customFormat="1" ht="14.25" x14ac:dyDescent="0.2">
      <c r="A2200" s="209"/>
      <c r="B2200" s="275"/>
      <c r="C2200" s="260"/>
      <c r="D2200" s="261"/>
      <c r="E2200" s="276"/>
      <c r="F2200" s="222"/>
      <c r="G2200" s="224"/>
    </row>
    <row r="2201" spans="1:8" s="1088" customFormat="1" ht="14.25" x14ac:dyDescent="0.2">
      <c r="A2201" s="209"/>
      <c r="B2201" s="259"/>
      <c r="C2201" s="260"/>
      <c r="D2201" s="261"/>
      <c r="E2201" s="276"/>
      <c r="F2201" s="222"/>
      <c r="G2201" s="224"/>
    </row>
    <row r="2202" spans="1:8" s="1088" customFormat="1" ht="14.25" x14ac:dyDescent="0.2">
      <c r="A2202" s="209"/>
      <c r="B2202" s="259"/>
      <c r="C2202" s="260"/>
      <c r="D2202" s="261"/>
      <c r="E2202" s="276"/>
      <c r="F2202" s="222"/>
      <c r="G2202" s="224"/>
    </row>
    <row r="2203" spans="1:8" s="1088" customFormat="1" ht="14.25" x14ac:dyDescent="0.2">
      <c r="A2203" s="209"/>
      <c r="B2203" s="245"/>
      <c r="C2203" s="265"/>
      <c r="D2203" s="246"/>
      <c r="E2203" s="265"/>
      <c r="F2203" s="266"/>
      <c r="G2203" s="267"/>
    </row>
    <row r="2204" spans="1:8" s="1088" customFormat="1" ht="14.25" x14ac:dyDescent="0.2">
      <c r="A2204" s="249"/>
      <c r="B2204" s="250"/>
      <c r="C2204" s="252"/>
      <c r="D2204" s="251"/>
      <c r="E2204" s="252"/>
      <c r="F2204" s="254"/>
      <c r="G2204" s="268"/>
    </row>
    <row r="2205" spans="1:8" s="1088" customFormat="1" ht="15" x14ac:dyDescent="0.25">
      <c r="A2205" s="209"/>
      <c r="B2205" s="212"/>
      <c r="C2205" s="211"/>
      <c r="D2205" s="212"/>
      <c r="E2205" s="269"/>
      <c r="F2205" s="269" t="s">
        <v>121</v>
      </c>
      <c r="G2205" s="270">
        <f>+SUM(G2199:G2204)</f>
        <v>850</v>
      </c>
    </row>
    <row r="2206" spans="1:8" s="1088" customFormat="1" ht="14.25" x14ac:dyDescent="0.2">
      <c r="A2206" s="209"/>
      <c r="B2206" s="212"/>
      <c r="C2206" s="211"/>
      <c r="D2206" s="212"/>
      <c r="E2206" s="213"/>
      <c r="F2206" s="214"/>
      <c r="G2206" s="271"/>
    </row>
    <row r="2207" spans="1:8" s="1088" customFormat="1" ht="15" x14ac:dyDescent="0.25">
      <c r="A2207" s="277"/>
      <c r="B2207" s="278"/>
      <c r="C2207" s="278"/>
      <c r="D2207" s="278"/>
      <c r="E2207" s="279"/>
      <c r="F2207" s="280" t="s">
        <v>137</v>
      </c>
      <c r="G2207" s="283">
        <f>+ROUND(G2175+G2185+G2194+G2205,0)</f>
        <v>16670</v>
      </c>
      <c r="H2207" s="1090"/>
    </row>
    <row r="2208" spans="1:8" s="1088" customFormat="1" ht="14.25" x14ac:dyDescent="0.2">
      <c r="A2208" s="212"/>
      <c r="B2208" s="212"/>
      <c r="C2208" s="212"/>
      <c r="D2208" s="212"/>
      <c r="E2208" s="211"/>
      <c r="F2208" s="211"/>
      <c r="G2208" s="211"/>
      <c r="H2208" s="211"/>
    </row>
    <row r="2209" spans="1:7" s="1088" customFormat="1" ht="15" x14ac:dyDescent="0.25">
      <c r="A2209" s="145" t="s">
        <v>160</v>
      </c>
      <c r="B2209" s="1262" t="s">
        <v>161</v>
      </c>
      <c r="C2209" s="1263"/>
      <c r="D2209" s="1263"/>
      <c r="E2209" s="1263"/>
      <c r="F2209" s="1264"/>
      <c r="G2209" s="146" t="s">
        <v>2</v>
      </c>
    </row>
    <row r="2210" spans="1:7" s="1088" customFormat="1" ht="15" x14ac:dyDescent="0.25">
      <c r="A2210" s="208">
        <f>'FORMATO PROPUESTA ECONÓMICA'!A69</f>
        <v>7.7</v>
      </c>
      <c r="B2210" s="1265" t="str">
        <f>'FORMATO PROPUESTA ECONÓMICA'!B69</f>
        <v>Silleta socket PN 10, agua de 110mm con salida 20 mm</v>
      </c>
      <c r="C2210" s="1266"/>
      <c r="D2210" s="1266"/>
      <c r="E2210" s="1266"/>
      <c r="F2210" s="1267"/>
      <c r="G2210" s="187" t="str">
        <f>'FORMATO PROPUESTA ECONÓMICA'!C69</f>
        <v>und</v>
      </c>
    </row>
    <row r="2211" spans="1:7" s="1088" customFormat="1" ht="14.25" x14ac:dyDescent="0.2">
      <c r="A2211" s="209"/>
      <c r="B2211" s="210"/>
      <c r="C2211" s="211"/>
      <c r="D2211" s="212"/>
      <c r="E2211" s="213"/>
      <c r="F2211" s="214"/>
      <c r="G2211" s="215"/>
    </row>
    <row r="2212" spans="1:7" s="1088" customFormat="1" ht="15" x14ac:dyDescent="0.25">
      <c r="A2212" s="216" t="s">
        <v>115</v>
      </c>
      <c r="B2212" s="212"/>
      <c r="C2212" s="211"/>
      <c r="D2212" s="212"/>
      <c r="E2212" s="213"/>
      <c r="F2212" s="214"/>
      <c r="G2212" s="215"/>
    </row>
    <row r="2213" spans="1:7" s="1088" customFormat="1" ht="14.25" x14ac:dyDescent="0.2">
      <c r="A2213" s="209"/>
      <c r="B2213" s="212"/>
      <c r="C2213" s="211"/>
      <c r="D2213" s="212"/>
      <c r="E2213" s="213"/>
      <c r="F2213" s="214"/>
      <c r="G2213" s="215"/>
    </row>
    <row r="2214" spans="1:7" s="1088" customFormat="1" ht="15" x14ac:dyDescent="0.25">
      <c r="A2214" s="1075" t="s">
        <v>116</v>
      </c>
      <c r="B2214" s="1076"/>
      <c r="C2214" s="217" t="s">
        <v>117</v>
      </c>
      <c r="D2214" s="1075" t="s">
        <v>118</v>
      </c>
      <c r="E2214" s="218" t="s">
        <v>39</v>
      </c>
      <c r="F2214" s="1075" t="s">
        <v>119</v>
      </c>
      <c r="G2214" s="219" t="s">
        <v>120</v>
      </c>
    </row>
    <row r="2215" spans="1:7" s="1088" customFormat="1" ht="15" customHeight="1" x14ac:dyDescent="0.2">
      <c r="A2215" s="209"/>
      <c r="B2215" s="286"/>
      <c r="C2215" s="220"/>
      <c r="D2215" s="261"/>
      <c r="E2215" s="276"/>
      <c r="F2215" s="222"/>
      <c r="G2215" s="224"/>
    </row>
    <row r="2216" spans="1:7" s="1088" customFormat="1" ht="14.25" x14ac:dyDescent="0.2">
      <c r="A2216" s="1060"/>
      <c r="B2216" s="1068"/>
      <c r="C2216" s="225"/>
      <c r="D2216" s="221"/>
      <c r="E2216" s="226"/>
      <c r="F2216" s="227"/>
      <c r="G2216" s="228">
        <f>D2216*E2216</f>
        <v>0</v>
      </c>
    </row>
    <row r="2217" spans="1:7" s="1088" customFormat="1" ht="14.25" x14ac:dyDescent="0.2">
      <c r="A2217" s="1060"/>
      <c r="B2217" s="1068"/>
      <c r="C2217" s="229"/>
      <c r="D2217" s="221"/>
      <c r="E2217" s="226"/>
      <c r="F2217" s="227"/>
      <c r="G2217" s="228">
        <f>D2217*E2217</f>
        <v>0</v>
      </c>
    </row>
    <row r="2218" spans="1:7" s="1088" customFormat="1" ht="14.25" x14ac:dyDescent="0.2">
      <c r="A2218" s="1060"/>
      <c r="B2218" s="1068"/>
      <c r="C2218" s="225"/>
      <c r="D2218" s="221"/>
      <c r="E2218" s="226"/>
      <c r="F2218" s="227"/>
      <c r="G2218" s="228">
        <f>D2218*E2218</f>
        <v>0</v>
      </c>
    </row>
    <row r="2219" spans="1:7" s="1088" customFormat="1" ht="14.25" x14ac:dyDescent="0.2">
      <c r="A2219" s="1069"/>
      <c r="B2219" s="1070"/>
      <c r="C2219" s="230"/>
      <c r="D2219" s="231"/>
      <c r="E2219" s="232"/>
      <c r="F2219" s="233"/>
      <c r="G2219" s="228">
        <f>D2219*E2219</f>
        <v>0</v>
      </c>
    </row>
    <row r="2220" spans="1:7" s="1088" customFormat="1" ht="15" x14ac:dyDescent="0.25">
      <c r="A2220" s="1073"/>
      <c r="B2220" s="210"/>
      <c r="C2220" s="211"/>
      <c r="D2220" s="212"/>
      <c r="E2220" s="212"/>
      <c r="F2220" s="234" t="s">
        <v>121</v>
      </c>
      <c r="G2220" s="231">
        <f>+SUM(G2215:G2219)</f>
        <v>0</v>
      </c>
    </row>
    <row r="2221" spans="1:7" s="1088" customFormat="1" ht="14.25" x14ac:dyDescent="0.2">
      <c r="A2221" s="209"/>
      <c r="B2221" s="212"/>
      <c r="C2221" s="211" t="s">
        <v>123</v>
      </c>
      <c r="D2221" s="212"/>
      <c r="E2221" s="213"/>
      <c r="F2221" s="214"/>
      <c r="G2221" s="215"/>
    </row>
    <row r="2222" spans="1:7" s="1088" customFormat="1" ht="15" x14ac:dyDescent="0.25">
      <c r="A2222" s="216" t="s">
        <v>122</v>
      </c>
      <c r="B2222" s="212"/>
      <c r="C2222" s="211" t="s">
        <v>123</v>
      </c>
      <c r="D2222" s="212"/>
      <c r="E2222" s="213"/>
      <c r="F2222" s="214"/>
      <c r="G2222" s="215"/>
    </row>
    <row r="2223" spans="1:7" s="1088" customFormat="1" ht="14.25" x14ac:dyDescent="0.2">
      <c r="A2223" s="209"/>
      <c r="B2223" s="212"/>
      <c r="C2223" s="211"/>
      <c r="D2223" s="212"/>
      <c r="E2223" s="213"/>
      <c r="F2223" s="214"/>
      <c r="G2223" s="215"/>
    </row>
    <row r="2224" spans="1:7" s="1088" customFormat="1" ht="15" x14ac:dyDescent="0.25">
      <c r="A2224" s="1071" t="s">
        <v>116</v>
      </c>
      <c r="B2224" s="1072"/>
      <c r="C2224" s="235" t="s">
        <v>117</v>
      </c>
      <c r="D2224" s="236" t="s">
        <v>124</v>
      </c>
      <c r="E2224" s="236" t="s">
        <v>125</v>
      </c>
      <c r="F2224" s="237" t="s">
        <v>126</v>
      </c>
      <c r="G2224" s="238" t="s">
        <v>120</v>
      </c>
    </row>
    <row r="2225" spans="1:7" s="1088" customFormat="1" ht="28.5" x14ac:dyDescent="0.2">
      <c r="A2225" s="1066" t="s">
        <v>127</v>
      </c>
      <c r="B2225" s="1067"/>
      <c r="C2225" s="239" t="s">
        <v>128</v>
      </c>
      <c r="D2225" s="240"/>
      <c r="E2225" s="241"/>
      <c r="F2225" s="222"/>
      <c r="G2225" s="242">
        <f>G2239*0.05</f>
        <v>277.11992000000004</v>
      </c>
    </row>
    <row r="2226" spans="1:7" s="1088" customFormat="1" ht="14.25" x14ac:dyDescent="0.2">
      <c r="A2226" s="1073" t="s">
        <v>174</v>
      </c>
      <c r="B2226" s="1074"/>
      <c r="C2226" s="243" t="s">
        <v>176</v>
      </c>
      <c r="D2226" s="221">
        <v>200000</v>
      </c>
      <c r="E2226" s="244"/>
      <c r="F2226" s="222">
        <v>20</v>
      </c>
      <c r="G2226" s="224">
        <f>D2226/F2226</f>
        <v>10000</v>
      </c>
    </row>
    <row r="2227" spans="1:7" s="1088" customFormat="1" ht="14.25" x14ac:dyDescent="0.2">
      <c r="A2227" s="1073"/>
      <c r="B2227" s="1074"/>
      <c r="C2227" s="243"/>
      <c r="D2227" s="221"/>
      <c r="E2227" s="244"/>
      <c r="F2227" s="222"/>
      <c r="G2227" s="224"/>
    </row>
    <row r="2228" spans="1:7" s="1088" customFormat="1" ht="14.25" x14ac:dyDescent="0.2">
      <c r="A2228" s="209"/>
      <c r="B2228" s="245"/>
      <c r="C2228" s="246"/>
      <c r="D2228" s="221"/>
      <c r="E2228" s="247"/>
      <c r="F2228" s="222"/>
      <c r="G2228" s="248"/>
    </row>
    <row r="2229" spans="1:7" s="1088" customFormat="1" ht="14.25" x14ac:dyDescent="0.2">
      <c r="A2229" s="249"/>
      <c r="B2229" s="250"/>
      <c r="C2229" s="251"/>
      <c r="D2229" s="252"/>
      <c r="E2229" s="253"/>
      <c r="F2229" s="254"/>
      <c r="G2229" s="255"/>
    </row>
    <row r="2230" spans="1:7" s="1088" customFormat="1" ht="15" x14ac:dyDescent="0.25">
      <c r="A2230" s="209"/>
      <c r="B2230" s="214"/>
      <c r="C2230" s="256"/>
      <c r="D2230" s="214"/>
      <c r="E2230" s="212"/>
      <c r="F2230" s="257" t="s">
        <v>121</v>
      </c>
      <c r="G2230" s="258">
        <f>+SUM(G2225:G2229)</f>
        <v>10277.119919999999</v>
      </c>
    </row>
    <row r="2231" spans="1:7" s="1088" customFormat="1" ht="14.25" x14ac:dyDescent="0.2">
      <c r="A2231" s="209"/>
      <c r="B2231" s="212"/>
      <c r="C2231" s="211"/>
      <c r="D2231" s="212"/>
      <c r="E2231" s="213"/>
      <c r="F2231" s="212"/>
      <c r="G2231" s="215"/>
    </row>
    <row r="2232" spans="1:7" s="1088" customFormat="1" ht="15" x14ac:dyDescent="0.25">
      <c r="A2232" s="216" t="s">
        <v>130</v>
      </c>
      <c r="B2232" s="212"/>
      <c r="C2232" s="211"/>
      <c r="D2232" s="212"/>
      <c r="E2232" s="213"/>
      <c r="F2232" s="214"/>
      <c r="G2232" s="215"/>
    </row>
    <row r="2233" spans="1:7" s="1088" customFormat="1" ht="14.25" x14ac:dyDescent="0.2">
      <c r="A2233" s="209"/>
      <c r="B2233" s="212"/>
      <c r="C2233" s="211"/>
      <c r="D2233" s="212"/>
      <c r="E2233" s="213"/>
      <c r="F2233" s="214"/>
      <c r="G2233" s="215"/>
    </row>
    <row r="2234" spans="1:7" s="1088" customFormat="1" ht="15" x14ac:dyDescent="0.25">
      <c r="A2234" s="1071" t="s">
        <v>116</v>
      </c>
      <c r="B2234" s="1072"/>
      <c r="C2234" s="236" t="s">
        <v>131</v>
      </c>
      <c r="D2234" s="235" t="s">
        <v>132</v>
      </c>
      <c r="E2234" s="236" t="s">
        <v>133</v>
      </c>
      <c r="F2234" s="237" t="s">
        <v>126</v>
      </c>
      <c r="G2234" s="238" t="s">
        <v>134</v>
      </c>
    </row>
    <row r="2235" spans="1:7" s="1088" customFormat="1" ht="14.25" x14ac:dyDescent="0.2">
      <c r="A2235" s="209" t="s">
        <v>10</v>
      </c>
      <c r="B2235" s="259"/>
      <c r="C2235" s="260">
        <f>M2</f>
        <v>22981.8</v>
      </c>
      <c r="D2235" s="261">
        <f>N2</f>
        <v>1.76</v>
      </c>
      <c r="E2235" s="276">
        <f>C2235*D2235</f>
        <v>40447.968000000001</v>
      </c>
      <c r="F2235" s="222">
        <f>1/20</f>
        <v>0.05</v>
      </c>
      <c r="G2235" s="224">
        <f>F2235*E2235</f>
        <v>2022.3984</v>
      </c>
    </row>
    <row r="2236" spans="1:7" s="1088" customFormat="1" ht="14.25" x14ac:dyDescent="0.2">
      <c r="A2236" s="209" t="s">
        <v>140</v>
      </c>
      <c r="B2236" s="259"/>
      <c r="C2236" s="260">
        <f>M3</f>
        <v>40000</v>
      </c>
      <c r="D2236" s="261">
        <f>N3</f>
        <v>1.76</v>
      </c>
      <c r="E2236" s="276">
        <f>C2236*D2236</f>
        <v>70400</v>
      </c>
      <c r="F2236" s="222">
        <f>1/20</f>
        <v>0.05</v>
      </c>
      <c r="G2236" s="224">
        <f>F2236*E2236</f>
        <v>3520</v>
      </c>
    </row>
    <row r="2237" spans="1:7" s="1088" customFormat="1" ht="14.25" x14ac:dyDescent="0.2">
      <c r="A2237" s="209"/>
      <c r="B2237" s="245"/>
      <c r="C2237" s="265"/>
      <c r="D2237" s="246"/>
      <c r="E2237" s="265"/>
      <c r="F2237" s="266"/>
      <c r="G2237" s="267"/>
    </row>
    <row r="2238" spans="1:7" s="1088" customFormat="1" ht="14.25" x14ac:dyDescent="0.2">
      <c r="A2238" s="249"/>
      <c r="B2238" s="250"/>
      <c r="C2238" s="252"/>
      <c r="D2238" s="251"/>
      <c r="E2238" s="252"/>
      <c r="F2238" s="254"/>
      <c r="G2238" s="268"/>
    </row>
    <row r="2239" spans="1:7" s="1088" customFormat="1" ht="15" x14ac:dyDescent="0.25">
      <c r="A2239" s="209"/>
      <c r="B2239" s="212"/>
      <c r="C2239" s="211"/>
      <c r="D2239" s="212"/>
      <c r="E2239" s="269"/>
      <c r="F2239" s="269" t="s">
        <v>121</v>
      </c>
      <c r="G2239" s="270">
        <f>+SUM(G2235:G2238)</f>
        <v>5542.3984</v>
      </c>
    </row>
    <row r="2240" spans="1:7" s="1088" customFormat="1" ht="15" x14ac:dyDescent="0.25">
      <c r="A2240" s="209"/>
      <c r="B2240" s="212"/>
      <c r="C2240" s="211"/>
      <c r="D2240" s="212"/>
      <c r="E2240" s="257"/>
      <c r="F2240" s="257"/>
      <c r="G2240" s="271"/>
    </row>
    <row r="2241" spans="1:8" s="1088" customFormat="1" ht="15" x14ac:dyDescent="0.25">
      <c r="A2241" s="216" t="s">
        <v>135</v>
      </c>
      <c r="B2241" s="212"/>
      <c r="C2241" s="211"/>
      <c r="D2241" s="212"/>
      <c r="E2241" s="213"/>
      <c r="F2241" s="214"/>
      <c r="G2241" s="215"/>
    </row>
    <row r="2242" spans="1:8" s="1088" customFormat="1" ht="14.25" x14ac:dyDescent="0.2">
      <c r="A2242" s="209"/>
      <c r="B2242" s="212"/>
      <c r="C2242" s="211"/>
      <c r="D2242" s="212"/>
      <c r="E2242" s="213"/>
      <c r="F2242" s="214"/>
      <c r="G2242" s="215"/>
    </row>
    <row r="2243" spans="1:8" s="1088" customFormat="1" ht="15" x14ac:dyDescent="0.25">
      <c r="A2243" s="1071" t="s">
        <v>116</v>
      </c>
      <c r="B2243" s="1072"/>
      <c r="C2243" s="236" t="s">
        <v>117</v>
      </c>
      <c r="D2243" s="235" t="s">
        <v>136</v>
      </c>
      <c r="E2243" s="236" t="s">
        <v>124</v>
      </c>
      <c r="F2243" s="237" t="s">
        <v>126</v>
      </c>
      <c r="G2243" s="238" t="s">
        <v>134</v>
      </c>
    </row>
    <row r="2244" spans="1:8" s="1088" customFormat="1" ht="14.25" x14ac:dyDescent="0.2">
      <c r="A2244" s="209" t="s">
        <v>175</v>
      </c>
      <c r="B2244" s="286"/>
      <c r="C2244" s="287" t="s">
        <v>79</v>
      </c>
      <c r="D2244" s="261"/>
      <c r="E2244" s="276">
        <v>68000</v>
      </c>
      <c r="F2244" s="222">
        <f>1/80</f>
        <v>1.2500000000000001E-2</v>
      </c>
      <c r="G2244" s="224">
        <f>F2244*E2244</f>
        <v>850</v>
      </c>
    </row>
    <row r="2245" spans="1:8" s="1088" customFormat="1" ht="14.25" x14ac:dyDescent="0.2">
      <c r="A2245" s="209"/>
      <c r="B2245" s="275"/>
      <c r="C2245" s="260"/>
      <c r="D2245" s="261"/>
      <c r="E2245" s="276"/>
      <c r="F2245" s="222"/>
      <c r="G2245" s="224"/>
    </row>
    <row r="2246" spans="1:8" s="1088" customFormat="1" ht="14.25" x14ac:dyDescent="0.2">
      <c r="A2246" s="209"/>
      <c r="B2246" s="259"/>
      <c r="C2246" s="260"/>
      <c r="D2246" s="261"/>
      <c r="E2246" s="276"/>
      <c r="F2246" s="222"/>
      <c r="G2246" s="224"/>
    </row>
    <row r="2247" spans="1:8" s="1088" customFormat="1" ht="14.25" x14ac:dyDescent="0.2">
      <c r="A2247" s="209"/>
      <c r="B2247" s="259"/>
      <c r="C2247" s="260"/>
      <c r="D2247" s="261"/>
      <c r="E2247" s="276"/>
      <c r="F2247" s="222"/>
      <c r="G2247" s="224"/>
    </row>
    <row r="2248" spans="1:8" s="1088" customFormat="1" ht="14.25" x14ac:dyDescent="0.2">
      <c r="A2248" s="209"/>
      <c r="B2248" s="245"/>
      <c r="C2248" s="265"/>
      <c r="D2248" s="246"/>
      <c r="E2248" s="265"/>
      <c r="F2248" s="266"/>
      <c r="G2248" s="267"/>
    </row>
    <row r="2249" spans="1:8" s="1088" customFormat="1" ht="14.25" x14ac:dyDescent="0.2">
      <c r="A2249" s="249"/>
      <c r="B2249" s="250"/>
      <c r="C2249" s="252"/>
      <c r="D2249" s="251"/>
      <c r="E2249" s="252"/>
      <c r="F2249" s="254"/>
      <c r="G2249" s="268"/>
    </row>
    <row r="2250" spans="1:8" s="1088" customFormat="1" ht="15" x14ac:dyDescent="0.25">
      <c r="A2250" s="209"/>
      <c r="B2250" s="212"/>
      <c r="C2250" s="211"/>
      <c r="D2250" s="212"/>
      <c r="E2250" s="269"/>
      <c r="F2250" s="269" t="s">
        <v>121</v>
      </c>
      <c r="G2250" s="270">
        <f>+SUM(G2244:G2249)</f>
        <v>850</v>
      </c>
    </row>
    <row r="2251" spans="1:8" s="1088" customFormat="1" ht="14.25" x14ac:dyDescent="0.2">
      <c r="A2251" s="209"/>
      <c r="B2251" s="212"/>
      <c r="C2251" s="211"/>
      <c r="D2251" s="212"/>
      <c r="E2251" s="213"/>
      <c r="F2251" s="214"/>
      <c r="G2251" s="271"/>
    </row>
    <row r="2252" spans="1:8" s="1088" customFormat="1" ht="15" x14ac:dyDescent="0.25">
      <c r="A2252" s="277"/>
      <c r="B2252" s="278"/>
      <c r="C2252" s="278"/>
      <c r="D2252" s="278"/>
      <c r="E2252" s="279"/>
      <c r="F2252" s="280" t="s">
        <v>137</v>
      </c>
      <c r="G2252" s="283">
        <f>+ROUND(G2220+G2230+G2239+G2250,0)</f>
        <v>16670</v>
      </c>
      <c r="H2252" s="1090"/>
    </row>
    <row r="2253" spans="1:8" s="1088" customFormat="1" ht="14.25" x14ac:dyDescent="0.2">
      <c r="A2253" s="212"/>
      <c r="B2253" s="212"/>
      <c r="C2253" s="212"/>
      <c r="D2253" s="212"/>
      <c r="E2253" s="211"/>
      <c r="F2253" s="211"/>
      <c r="G2253" s="211"/>
      <c r="H2253" s="211"/>
    </row>
    <row r="2254" spans="1:8" s="1088" customFormat="1" ht="14.25" x14ac:dyDescent="0.2">
      <c r="A2254" s="212"/>
      <c r="B2254" s="212"/>
      <c r="C2254" s="212"/>
      <c r="D2254" s="212"/>
      <c r="E2254" s="211"/>
      <c r="F2254" s="211"/>
      <c r="G2254" s="211"/>
      <c r="H2254" s="211"/>
    </row>
    <row r="2255" spans="1:8" s="1088" customFormat="1" ht="14.25" x14ac:dyDescent="0.2"/>
    <row r="2256" spans="1:8" s="1088" customFormat="1" ht="15" x14ac:dyDescent="0.25">
      <c r="A2256" s="145" t="s">
        <v>160</v>
      </c>
      <c r="B2256" s="1262" t="s">
        <v>161</v>
      </c>
      <c r="C2256" s="1263"/>
      <c r="D2256" s="1263"/>
      <c r="E2256" s="1263"/>
      <c r="F2256" s="1264"/>
      <c r="G2256" s="146" t="s">
        <v>2</v>
      </c>
    </row>
    <row r="2257" spans="1:7" s="1088" customFormat="1" ht="15" x14ac:dyDescent="0.25">
      <c r="A2257" s="208">
        <f>'FORMATO PROPUESTA ECONÓMICA'!A70</f>
        <v>7.8</v>
      </c>
      <c r="B2257" s="1265" t="str">
        <f>'FORMATO PROPUESTA ECONÓMICA'!B70</f>
        <v xml:space="preserve">Adaptador polietileno hembra y/o macho 1/2" 20 mm </v>
      </c>
      <c r="C2257" s="1266"/>
      <c r="D2257" s="1266"/>
      <c r="E2257" s="1266"/>
      <c r="F2257" s="1267"/>
      <c r="G2257" s="187" t="str">
        <f>'FORMATO PROPUESTA ECONÓMICA'!C69</f>
        <v>und</v>
      </c>
    </row>
    <row r="2258" spans="1:7" s="1088" customFormat="1" ht="14.25" x14ac:dyDescent="0.2">
      <c r="A2258" s="209"/>
      <c r="B2258" s="210"/>
      <c r="C2258" s="211"/>
      <c r="D2258" s="212"/>
      <c r="E2258" s="213"/>
      <c r="F2258" s="214"/>
      <c r="G2258" s="215"/>
    </row>
    <row r="2259" spans="1:7" s="1088" customFormat="1" ht="15" x14ac:dyDescent="0.25">
      <c r="A2259" s="216" t="s">
        <v>115</v>
      </c>
      <c r="B2259" s="212"/>
      <c r="C2259" s="211"/>
      <c r="D2259" s="212"/>
      <c r="E2259" s="213"/>
      <c r="F2259" s="214"/>
      <c r="G2259" s="215"/>
    </row>
    <row r="2260" spans="1:7" s="1088" customFormat="1" ht="15" customHeight="1" x14ac:dyDescent="0.2">
      <c r="A2260" s="209"/>
      <c r="B2260" s="212"/>
      <c r="C2260" s="211"/>
      <c r="D2260" s="212"/>
      <c r="E2260" s="213"/>
      <c r="F2260" s="214"/>
      <c r="G2260" s="215"/>
    </row>
    <row r="2261" spans="1:7" s="1088" customFormat="1" ht="15" x14ac:dyDescent="0.25">
      <c r="A2261" s="1075" t="s">
        <v>116</v>
      </c>
      <c r="B2261" s="1076"/>
      <c r="C2261" s="217" t="s">
        <v>117</v>
      </c>
      <c r="D2261" s="1075" t="s">
        <v>118</v>
      </c>
      <c r="E2261" s="218" t="s">
        <v>39</v>
      </c>
      <c r="F2261" s="237" t="s">
        <v>126</v>
      </c>
      <c r="G2261" s="219" t="s">
        <v>120</v>
      </c>
    </row>
    <row r="2262" spans="1:7" s="1088" customFormat="1" ht="14.25" x14ac:dyDescent="0.2">
      <c r="A2262" s="209"/>
      <c r="B2262" s="286"/>
      <c r="C2262" s="220"/>
      <c r="D2262" s="261"/>
      <c r="E2262" s="276"/>
      <c r="F2262" s="222"/>
      <c r="G2262" s="224"/>
    </row>
    <row r="2263" spans="1:7" s="1088" customFormat="1" ht="14.25" x14ac:dyDescent="0.2">
      <c r="A2263" s="1060"/>
      <c r="B2263" s="1068"/>
      <c r="C2263" s="225"/>
      <c r="D2263" s="221"/>
      <c r="E2263" s="226"/>
      <c r="F2263" s="227"/>
      <c r="G2263" s="228">
        <f>D2263*E2263</f>
        <v>0</v>
      </c>
    </row>
    <row r="2264" spans="1:7" s="1088" customFormat="1" ht="14.25" x14ac:dyDescent="0.2">
      <c r="A2264" s="1060"/>
      <c r="B2264" s="1068"/>
      <c r="C2264" s="229"/>
      <c r="D2264" s="221"/>
      <c r="E2264" s="226"/>
      <c r="F2264" s="227"/>
      <c r="G2264" s="228">
        <f>D2264*E2264</f>
        <v>0</v>
      </c>
    </row>
    <row r="2265" spans="1:7" s="1088" customFormat="1" ht="14.25" x14ac:dyDescent="0.2">
      <c r="A2265" s="1060"/>
      <c r="B2265" s="1068"/>
      <c r="C2265" s="225"/>
      <c r="D2265" s="221"/>
      <c r="E2265" s="226"/>
      <c r="F2265" s="227"/>
      <c r="G2265" s="228">
        <f>D2265*E2265</f>
        <v>0</v>
      </c>
    </row>
    <row r="2266" spans="1:7" s="1088" customFormat="1" ht="14.25" x14ac:dyDescent="0.2">
      <c r="A2266" s="1069"/>
      <c r="B2266" s="1070"/>
      <c r="C2266" s="230"/>
      <c r="D2266" s="231"/>
      <c r="E2266" s="232"/>
      <c r="F2266" s="233"/>
      <c r="G2266" s="228">
        <f>D2266*E2266</f>
        <v>0</v>
      </c>
    </row>
    <row r="2267" spans="1:7" s="1088" customFormat="1" ht="15" x14ac:dyDescent="0.25">
      <c r="A2267" s="1073"/>
      <c r="B2267" s="210"/>
      <c r="C2267" s="211"/>
      <c r="D2267" s="212"/>
      <c r="E2267" s="212"/>
      <c r="F2267" s="234" t="s">
        <v>121</v>
      </c>
      <c r="G2267" s="231">
        <f>+SUM(G2262:G2266)</f>
        <v>0</v>
      </c>
    </row>
    <row r="2268" spans="1:7" s="1088" customFormat="1" ht="14.25" x14ac:dyDescent="0.2">
      <c r="A2268" s="209"/>
      <c r="B2268" s="212"/>
      <c r="C2268" s="211" t="s">
        <v>123</v>
      </c>
      <c r="D2268" s="212"/>
      <c r="E2268" s="213"/>
      <c r="F2268" s="214"/>
      <c r="G2268" s="215"/>
    </row>
    <row r="2269" spans="1:7" s="1088" customFormat="1" ht="15" x14ac:dyDescent="0.25">
      <c r="A2269" s="216" t="s">
        <v>122</v>
      </c>
      <c r="B2269" s="212"/>
      <c r="C2269" s="211" t="s">
        <v>123</v>
      </c>
      <c r="D2269" s="212"/>
      <c r="E2269" s="213"/>
      <c r="F2269" s="214"/>
      <c r="G2269" s="215"/>
    </row>
    <row r="2270" spans="1:7" s="1088" customFormat="1" ht="14.25" x14ac:dyDescent="0.2">
      <c r="A2270" s="209"/>
      <c r="B2270" s="212"/>
      <c r="C2270" s="211"/>
      <c r="D2270" s="212"/>
      <c r="E2270" s="213"/>
      <c r="F2270" s="214"/>
      <c r="G2270" s="215"/>
    </row>
    <row r="2271" spans="1:7" s="1088" customFormat="1" ht="15" x14ac:dyDescent="0.25">
      <c r="A2271" s="1071" t="s">
        <v>116</v>
      </c>
      <c r="B2271" s="1072"/>
      <c r="C2271" s="235" t="s">
        <v>117</v>
      </c>
      <c r="D2271" s="236" t="s">
        <v>124</v>
      </c>
      <c r="E2271" s="236" t="s">
        <v>125</v>
      </c>
      <c r="F2271" s="237" t="s">
        <v>126</v>
      </c>
      <c r="G2271" s="238" t="s">
        <v>120</v>
      </c>
    </row>
    <row r="2272" spans="1:7" s="1088" customFormat="1" ht="28.5" x14ac:dyDescent="0.2">
      <c r="A2272" s="1066" t="s">
        <v>127</v>
      </c>
      <c r="B2272" s="1067"/>
      <c r="C2272" s="239" t="s">
        <v>128</v>
      </c>
      <c r="D2272" s="240"/>
      <c r="E2272" s="241"/>
      <c r="F2272" s="222"/>
      <c r="G2272" s="242">
        <f>G2286*0.05</f>
        <v>50.559960000000004</v>
      </c>
    </row>
    <row r="2273" spans="1:7" s="1088" customFormat="1" ht="14.25" x14ac:dyDescent="0.2">
      <c r="A2273" s="209" t="s">
        <v>177</v>
      </c>
      <c r="B2273" s="286"/>
      <c r="C2273" s="220">
        <v>1</v>
      </c>
      <c r="D2273" s="261">
        <v>500</v>
      </c>
      <c r="E2273" s="276">
        <v>1</v>
      </c>
      <c r="F2273" s="222">
        <v>1</v>
      </c>
      <c r="G2273" s="242">
        <f>D2273*F2273</f>
        <v>500</v>
      </c>
    </row>
    <row r="2274" spans="1:7" s="1088" customFormat="1" ht="14.25" x14ac:dyDescent="0.2">
      <c r="A2274" s="1073"/>
      <c r="B2274" s="1074"/>
      <c r="C2274" s="243"/>
      <c r="D2274" s="221"/>
      <c r="E2274" s="244"/>
      <c r="F2274" s="222"/>
      <c r="G2274" s="224"/>
    </row>
    <row r="2275" spans="1:7" s="1088" customFormat="1" ht="14.25" x14ac:dyDescent="0.2">
      <c r="A2275" s="209"/>
      <c r="B2275" s="245"/>
      <c r="C2275" s="246"/>
      <c r="D2275" s="221"/>
      <c r="E2275" s="247"/>
      <c r="F2275" s="222"/>
      <c r="G2275" s="248"/>
    </row>
    <row r="2276" spans="1:7" s="1088" customFormat="1" ht="14.25" x14ac:dyDescent="0.2">
      <c r="A2276" s="249"/>
      <c r="B2276" s="250"/>
      <c r="C2276" s="251"/>
      <c r="D2276" s="252"/>
      <c r="E2276" s="253"/>
      <c r="F2276" s="254"/>
      <c r="G2276" s="255"/>
    </row>
    <row r="2277" spans="1:7" s="1088" customFormat="1" ht="15" x14ac:dyDescent="0.25">
      <c r="A2277" s="209"/>
      <c r="B2277" s="214"/>
      <c r="C2277" s="256"/>
      <c r="D2277" s="214"/>
      <c r="E2277" s="212"/>
      <c r="F2277" s="257" t="s">
        <v>121</v>
      </c>
      <c r="G2277" s="258">
        <f>+SUM(G2272:G2276)</f>
        <v>550.55996000000005</v>
      </c>
    </row>
    <row r="2278" spans="1:7" s="1088" customFormat="1" ht="14.25" x14ac:dyDescent="0.2">
      <c r="A2278" s="209"/>
      <c r="B2278" s="212"/>
      <c r="C2278" s="211"/>
      <c r="D2278" s="212"/>
      <c r="E2278" s="213"/>
      <c r="F2278" s="212"/>
      <c r="G2278" s="215"/>
    </row>
    <row r="2279" spans="1:7" s="1088" customFormat="1" ht="15" x14ac:dyDescent="0.25">
      <c r="A2279" s="216" t="s">
        <v>130</v>
      </c>
      <c r="B2279" s="212"/>
      <c r="C2279" s="211"/>
      <c r="D2279" s="212"/>
      <c r="E2279" s="213"/>
      <c r="F2279" s="214"/>
      <c r="G2279" s="215"/>
    </row>
    <row r="2280" spans="1:7" s="1088" customFormat="1" ht="14.25" x14ac:dyDescent="0.2">
      <c r="A2280" s="209"/>
      <c r="B2280" s="212"/>
      <c r="C2280" s="211"/>
      <c r="D2280" s="212"/>
      <c r="E2280" s="213"/>
      <c r="F2280" s="214"/>
      <c r="G2280" s="215"/>
    </row>
    <row r="2281" spans="1:7" s="1088" customFormat="1" ht="15" x14ac:dyDescent="0.25">
      <c r="A2281" s="1071" t="s">
        <v>116</v>
      </c>
      <c r="B2281" s="1072"/>
      <c r="C2281" s="236" t="s">
        <v>131</v>
      </c>
      <c r="D2281" s="235" t="s">
        <v>132</v>
      </c>
      <c r="E2281" s="236" t="s">
        <v>133</v>
      </c>
      <c r="F2281" s="237" t="s">
        <v>126</v>
      </c>
      <c r="G2281" s="238" t="s">
        <v>134</v>
      </c>
    </row>
    <row r="2282" spans="1:7" s="1088" customFormat="1" ht="14.25" x14ac:dyDescent="0.2">
      <c r="A2282" s="209" t="s">
        <v>10</v>
      </c>
      <c r="B2282" s="259"/>
      <c r="C2282" s="260">
        <f>M2</f>
        <v>22981.8</v>
      </c>
      <c r="D2282" s="261">
        <f>N2</f>
        <v>1.76</v>
      </c>
      <c r="E2282" s="276">
        <f>C2282*D2282</f>
        <v>40447.968000000001</v>
      </c>
      <c r="F2282" s="222">
        <f>1/40</f>
        <v>2.5000000000000001E-2</v>
      </c>
      <c r="G2282" s="224">
        <f>F2282*E2282</f>
        <v>1011.1992</v>
      </c>
    </row>
    <row r="2283" spans="1:7" s="1088" customFormat="1" ht="14.25" x14ac:dyDescent="0.2">
      <c r="A2283" s="209"/>
      <c r="B2283" s="259"/>
      <c r="C2283" s="260"/>
      <c r="D2283" s="261"/>
      <c r="E2283" s="276"/>
      <c r="F2283" s="222"/>
      <c r="G2283" s="224">
        <f>F2283*E2283</f>
        <v>0</v>
      </c>
    </row>
    <row r="2284" spans="1:7" s="1088" customFormat="1" ht="14.25" x14ac:dyDescent="0.2">
      <c r="A2284" s="209"/>
      <c r="B2284" s="245"/>
      <c r="C2284" s="265"/>
      <c r="D2284" s="246"/>
      <c r="E2284" s="265"/>
      <c r="F2284" s="266"/>
      <c r="G2284" s="267"/>
    </row>
    <row r="2285" spans="1:7" s="1088" customFormat="1" ht="14.25" x14ac:dyDescent="0.2">
      <c r="A2285" s="249"/>
      <c r="B2285" s="250"/>
      <c r="C2285" s="252"/>
      <c r="D2285" s="251"/>
      <c r="E2285" s="252"/>
      <c r="F2285" s="254"/>
      <c r="G2285" s="268"/>
    </row>
    <row r="2286" spans="1:7" s="1088" customFormat="1" ht="15" x14ac:dyDescent="0.25">
      <c r="A2286" s="209"/>
      <c r="B2286" s="212"/>
      <c r="C2286" s="211"/>
      <c r="D2286" s="212"/>
      <c r="E2286" s="269"/>
      <c r="F2286" s="269" t="s">
        <v>121</v>
      </c>
      <c r="G2286" s="270">
        <f>+SUM(G2282:G2285)</f>
        <v>1011.1992</v>
      </c>
    </row>
    <row r="2287" spans="1:7" s="1088" customFormat="1" ht="15" x14ac:dyDescent="0.25">
      <c r="A2287" s="209"/>
      <c r="B2287" s="212"/>
      <c r="C2287" s="211"/>
      <c r="D2287" s="212"/>
      <c r="E2287" s="257"/>
      <c r="F2287" s="257"/>
      <c r="G2287" s="271"/>
    </row>
    <row r="2288" spans="1:7" s="1088" customFormat="1" ht="15" x14ac:dyDescent="0.25">
      <c r="A2288" s="216" t="s">
        <v>135</v>
      </c>
      <c r="B2288" s="212"/>
      <c r="C2288" s="211"/>
      <c r="D2288" s="212"/>
      <c r="E2288" s="213"/>
      <c r="F2288" s="214"/>
      <c r="G2288" s="215"/>
    </row>
    <row r="2289" spans="1:7" s="1088" customFormat="1" ht="14.25" x14ac:dyDescent="0.2">
      <c r="A2289" s="209"/>
      <c r="B2289" s="212"/>
      <c r="C2289" s="211"/>
      <c r="D2289" s="212"/>
      <c r="E2289" s="213"/>
      <c r="F2289" s="214"/>
      <c r="G2289" s="215"/>
    </row>
    <row r="2290" spans="1:7" s="1088" customFormat="1" ht="15" x14ac:dyDescent="0.25">
      <c r="A2290" s="1071" t="s">
        <v>116</v>
      </c>
      <c r="B2290" s="1072"/>
      <c r="C2290" s="236" t="s">
        <v>117</v>
      </c>
      <c r="D2290" s="235" t="s">
        <v>136</v>
      </c>
      <c r="E2290" s="236" t="s">
        <v>124</v>
      </c>
      <c r="F2290" s="237" t="s">
        <v>126</v>
      </c>
      <c r="G2290" s="238" t="s">
        <v>134</v>
      </c>
    </row>
    <row r="2291" spans="1:7" s="1088" customFormat="1" ht="14.25" x14ac:dyDescent="0.2">
      <c r="A2291" s="209" t="s">
        <v>175</v>
      </c>
      <c r="B2291" s="286"/>
      <c r="C2291" s="287" t="s">
        <v>79</v>
      </c>
      <c r="D2291" s="261"/>
      <c r="E2291" s="276">
        <v>68000</v>
      </c>
      <c r="F2291" s="222">
        <f>1/60</f>
        <v>1.6666666666666666E-2</v>
      </c>
      <c r="G2291" s="224">
        <f>F2291*E2291</f>
        <v>1133.3333333333333</v>
      </c>
    </row>
    <row r="2292" spans="1:7" s="1088" customFormat="1" ht="14.25" x14ac:dyDescent="0.2">
      <c r="A2292" s="209"/>
      <c r="B2292" s="275"/>
      <c r="C2292" s="260"/>
      <c r="D2292" s="261"/>
      <c r="E2292" s="276"/>
      <c r="F2292" s="222"/>
      <c r="G2292" s="224"/>
    </row>
    <row r="2293" spans="1:7" s="1088" customFormat="1" ht="14.25" x14ac:dyDescent="0.2">
      <c r="A2293" s="209"/>
      <c r="B2293" s="259"/>
      <c r="C2293" s="260"/>
      <c r="D2293" s="261"/>
      <c r="E2293" s="276"/>
      <c r="F2293" s="222"/>
      <c r="G2293" s="224"/>
    </row>
    <row r="2294" spans="1:7" s="1088" customFormat="1" ht="14.25" x14ac:dyDescent="0.2">
      <c r="A2294" s="209"/>
      <c r="B2294" s="259"/>
      <c r="C2294" s="260"/>
      <c r="D2294" s="261"/>
      <c r="E2294" s="276"/>
      <c r="F2294" s="222"/>
      <c r="G2294" s="224"/>
    </row>
    <row r="2295" spans="1:7" s="1088" customFormat="1" ht="14.25" x14ac:dyDescent="0.2">
      <c r="A2295" s="209"/>
      <c r="B2295" s="245"/>
      <c r="C2295" s="265"/>
      <c r="D2295" s="246"/>
      <c r="E2295" s="265"/>
      <c r="F2295" s="266"/>
      <c r="G2295" s="267"/>
    </row>
    <row r="2296" spans="1:7" s="1088" customFormat="1" ht="14.25" x14ac:dyDescent="0.2">
      <c r="A2296" s="249"/>
      <c r="B2296" s="250"/>
      <c r="C2296" s="252"/>
      <c r="D2296" s="251"/>
      <c r="E2296" s="252"/>
      <c r="F2296" s="254"/>
      <c r="G2296" s="268"/>
    </row>
    <row r="2297" spans="1:7" s="1088" customFormat="1" ht="15" x14ac:dyDescent="0.25">
      <c r="A2297" s="209"/>
      <c r="B2297" s="212"/>
      <c r="C2297" s="211"/>
      <c r="D2297" s="212"/>
      <c r="E2297" s="269"/>
      <c r="F2297" s="269" t="s">
        <v>121</v>
      </c>
      <c r="G2297" s="270">
        <f>+SUM(G2291:G2296)</f>
        <v>1133.3333333333333</v>
      </c>
    </row>
    <row r="2298" spans="1:7" s="1088" customFormat="1" ht="14.25" x14ac:dyDescent="0.2">
      <c r="A2298" s="209"/>
      <c r="B2298" s="212"/>
      <c r="C2298" s="211"/>
      <c r="D2298" s="212"/>
      <c r="E2298" s="213"/>
      <c r="F2298" s="214"/>
      <c r="G2298" s="271"/>
    </row>
    <row r="2299" spans="1:7" s="1088" customFormat="1" ht="15" x14ac:dyDescent="0.25">
      <c r="A2299" s="277"/>
      <c r="B2299" s="278"/>
      <c r="C2299" s="278"/>
      <c r="D2299" s="278"/>
      <c r="E2299" s="279"/>
      <c r="F2299" s="280" t="s">
        <v>137</v>
      </c>
      <c r="G2299" s="283">
        <f>+ROUND(G2267+G2277+G2286+G2297,0)</f>
        <v>2695</v>
      </c>
    </row>
    <row r="2300" spans="1:7" s="1088" customFormat="1" ht="15" x14ac:dyDescent="0.25">
      <c r="A2300" s="212"/>
      <c r="B2300" s="212"/>
      <c r="C2300" s="212"/>
      <c r="D2300" s="212"/>
      <c r="E2300" s="211"/>
      <c r="F2300" s="257"/>
      <c r="G2300" s="257"/>
    </row>
    <row r="2301" spans="1:7" s="1088" customFormat="1" ht="15" x14ac:dyDescent="0.25">
      <c r="A2301" s="285">
        <f>'FORMATO PROPUESTA ECONÓMICA'!A71</f>
        <v>7.9</v>
      </c>
      <c r="B2301" s="1265" t="str">
        <f>'FORMATO PROPUESTA ECONÓMICA'!B71</f>
        <v xml:space="preserve">Adaptador polietileno hembra o macho  25mm </v>
      </c>
      <c r="C2301" s="1266"/>
      <c r="D2301" s="1266"/>
      <c r="E2301" s="1266"/>
      <c r="F2301" s="1267"/>
      <c r="G2301" s="187" t="str">
        <f>'FORMATO PROPUESTA ECONÓMICA'!C71</f>
        <v>und</v>
      </c>
    </row>
    <row r="2302" spans="1:7" s="1088" customFormat="1" ht="14.25" x14ac:dyDescent="0.2">
      <c r="A2302" s="209"/>
      <c r="B2302" s="210"/>
      <c r="C2302" s="211"/>
      <c r="D2302" s="212"/>
      <c r="E2302" s="213"/>
      <c r="F2302" s="214"/>
      <c r="G2302" s="215"/>
    </row>
    <row r="2303" spans="1:7" s="1088" customFormat="1" ht="15" x14ac:dyDescent="0.25">
      <c r="A2303" s="216" t="s">
        <v>115</v>
      </c>
      <c r="B2303" s="212"/>
      <c r="C2303" s="211"/>
      <c r="D2303" s="212"/>
      <c r="E2303" s="213"/>
      <c r="F2303" s="214"/>
      <c r="G2303" s="215"/>
    </row>
    <row r="2304" spans="1:7" s="1088" customFormat="1" ht="14.25" x14ac:dyDescent="0.2">
      <c r="A2304" s="209"/>
      <c r="B2304" s="212"/>
      <c r="C2304" s="211"/>
      <c r="D2304" s="212"/>
      <c r="E2304" s="213"/>
      <c r="F2304" s="214"/>
      <c r="G2304" s="215"/>
    </row>
    <row r="2305" spans="1:7" s="1088" customFormat="1" ht="15" customHeight="1" x14ac:dyDescent="0.25">
      <c r="A2305" s="1075" t="s">
        <v>116</v>
      </c>
      <c r="B2305" s="1076"/>
      <c r="C2305" s="217" t="s">
        <v>117</v>
      </c>
      <c r="D2305" s="1075" t="s">
        <v>118</v>
      </c>
      <c r="E2305" s="218" t="s">
        <v>39</v>
      </c>
      <c r="F2305" s="237" t="s">
        <v>126</v>
      </c>
      <c r="G2305" s="219" t="s">
        <v>120</v>
      </c>
    </row>
    <row r="2306" spans="1:7" s="1088" customFormat="1" ht="14.25" x14ac:dyDescent="0.2">
      <c r="A2306" s="209"/>
      <c r="B2306" s="286"/>
      <c r="C2306" s="220"/>
      <c r="D2306" s="261"/>
      <c r="E2306" s="276"/>
      <c r="F2306" s="222"/>
      <c r="G2306" s="224"/>
    </row>
    <row r="2307" spans="1:7" s="1088" customFormat="1" ht="14.25" x14ac:dyDescent="0.2">
      <c r="A2307" s="1060"/>
      <c r="B2307" s="1068"/>
      <c r="C2307" s="225"/>
      <c r="D2307" s="221"/>
      <c r="E2307" s="226"/>
      <c r="F2307" s="227"/>
      <c r="G2307" s="228">
        <f>D2307*E2307</f>
        <v>0</v>
      </c>
    </row>
    <row r="2308" spans="1:7" s="1088" customFormat="1" ht="14.25" x14ac:dyDescent="0.2">
      <c r="A2308" s="1060"/>
      <c r="B2308" s="1068"/>
      <c r="C2308" s="229"/>
      <c r="D2308" s="221"/>
      <c r="E2308" s="226"/>
      <c r="F2308" s="227"/>
      <c r="G2308" s="228">
        <f>D2308*E2308</f>
        <v>0</v>
      </c>
    </row>
    <row r="2309" spans="1:7" s="1088" customFormat="1" ht="14.25" x14ac:dyDescent="0.2">
      <c r="A2309" s="1060"/>
      <c r="B2309" s="1068"/>
      <c r="C2309" s="225"/>
      <c r="D2309" s="221"/>
      <c r="E2309" s="226"/>
      <c r="F2309" s="227"/>
      <c r="G2309" s="228">
        <f>D2309*E2309</f>
        <v>0</v>
      </c>
    </row>
    <row r="2310" spans="1:7" s="1088" customFormat="1" ht="14.25" x14ac:dyDescent="0.2">
      <c r="A2310" s="1069"/>
      <c r="B2310" s="1070"/>
      <c r="C2310" s="230"/>
      <c r="D2310" s="231"/>
      <c r="E2310" s="232"/>
      <c r="F2310" s="233"/>
      <c r="G2310" s="228">
        <f>D2310*E2310</f>
        <v>0</v>
      </c>
    </row>
    <row r="2311" spans="1:7" s="1088" customFormat="1" ht="15" x14ac:dyDescent="0.25">
      <c r="A2311" s="1073"/>
      <c r="B2311" s="210"/>
      <c r="C2311" s="211"/>
      <c r="D2311" s="212"/>
      <c r="E2311" s="212"/>
      <c r="F2311" s="234" t="s">
        <v>121</v>
      </c>
      <c r="G2311" s="231">
        <f>+SUM(G2306:G2310)</f>
        <v>0</v>
      </c>
    </row>
    <row r="2312" spans="1:7" s="1088" customFormat="1" ht="14.25" x14ac:dyDescent="0.2">
      <c r="A2312" s="209"/>
      <c r="B2312" s="212"/>
      <c r="C2312" s="211" t="s">
        <v>123</v>
      </c>
      <c r="D2312" s="212"/>
      <c r="E2312" s="213"/>
      <c r="F2312" s="214"/>
      <c r="G2312" s="215"/>
    </row>
    <row r="2313" spans="1:7" s="1088" customFormat="1" ht="15" x14ac:dyDescent="0.25">
      <c r="A2313" s="216" t="s">
        <v>122</v>
      </c>
      <c r="B2313" s="212"/>
      <c r="C2313" s="211" t="s">
        <v>123</v>
      </c>
      <c r="D2313" s="212"/>
      <c r="E2313" s="213"/>
      <c r="F2313" s="214"/>
      <c r="G2313" s="215"/>
    </row>
    <row r="2314" spans="1:7" s="1088" customFormat="1" ht="14.25" x14ac:dyDescent="0.2">
      <c r="A2314" s="209"/>
      <c r="B2314" s="212"/>
      <c r="C2314" s="211"/>
      <c r="D2314" s="212"/>
      <c r="E2314" s="213"/>
      <c r="F2314" s="214"/>
      <c r="G2314" s="215"/>
    </row>
    <row r="2315" spans="1:7" s="1088" customFormat="1" ht="15" x14ac:dyDescent="0.25">
      <c r="A2315" s="1071" t="s">
        <v>116</v>
      </c>
      <c r="B2315" s="1072"/>
      <c r="C2315" s="235" t="s">
        <v>117</v>
      </c>
      <c r="D2315" s="236" t="s">
        <v>124</v>
      </c>
      <c r="E2315" s="236" t="s">
        <v>125</v>
      </c>
      <c r="F2315" s="237" t="s">
        <v>126</v>
      </c>
      <c r="G2315" s="238" t="s">
        <v>120</v>
      </c>
    </row>
    <row r="2316" spans="1:7" s="1088" customFormat="1" ht="28.5" x14ac:dyDescent="0.2">
      <c r="A2316" s="1066" t="s">
        <v>127</v>
      </c>
      <c r="B2316" s="1067"/>
      <c r="C2316" s="239" t="s">
        <v>128</v>
      </c>
      <c r="D2316" s="240"/>
      <c r="E2316" s="241"/>
      <c r="F2316" s="222"/>
      <c r="G2316" s="242">
        <f>G2330*0.05</f>
        <v>50.559960000000004</v>
      </c>
    </row>
    <row r="2317" spans="1:7" s="1088" customFormat="1" ht="14.25" x14ac:dyDescent="0.2">
      <c r="A2317" s="209" t="s">
        <v>177</v>
      </c>
      <c r="B2317" s="286"/>
      <c r="C2317" s="220">
        <v>1</v>
      </c>
      <c r="D2317" s="261">
        <v>500</v>
      </c>
      <c r="E2317" s="276">
        <v>1</v>
      </c>
      <c r="F2317" s="222">
        <v>1</v>
      </c>
      <c r="G2317" s="242">
        <f>D2317*F2317</f>
        <v>500</v>
      </c>
    </row>
    <row r="2318" spans="1:7" s="1088" customFormat="1" ht="14.25" x14ac:dyDescent="0.2">
      <c r="A2318" s="1073"/>
      <c r="B2318" s="1074"/>
      <c r="C2318" s="243"/>
      <c r="D2318" s="221"/>
      <c r="E2318" s="244"/>
      <c r="F2318" s="222"/>
      <c r="G2318" s="224"/>
    </row>
    <row r="2319" spans="1:7" s="1088" customFormat="1" ht="14.25" x14ac:dyDescent="0.2">
      <c r="A2319" s="209"/>
      <c r="B2319" s="245"/>
      <c r="C2319" s="246"/>
      <c r="D2319" s="221"/>
      <c r="E2319" s="247"/>
      <c r="F2319" s="222"/>
      <c r="G2319" s="248"/>
    </row>
    <row r="2320" spans="1:7" s="1088" customFormat="1" ht="14.25" x14ac:dyDescent="0.2">
      <c r="A2320" s="249"/>
      <c r="B2320" s="250"/>
      <c r="C2320" s="251"/>
      <c r="D2320" s="252"/>
      <c r="E2320" s="253"/>
      <c r="F2320" s="254"/>
      <c r="G2320" s="255"/>
    </row>
    <row r="2321" spans="1:7" s="1088" customFormat="1" ht="15" x14ac:dyDescent="0.25">
      <c r="A2321" s="209"/>
      <c r="B2321" s="214"/>
      <c r="C2321" s="256"/>
      <c r="D2321" s="214"/>
      <c r="E2321" s="212"/>
      <c r="F2321" s="257" t="s">
        <v>121</v>
      </c>
      <c r="G2321" s="258">
        <f>+SUM(G2316:G2320)</f>
        <v>550.55996000000005</v>
      </c>
    </row>
    <row r="2322" spans="1:7" s="1088" customFormat="1" ht="14.25" x14ac:dyDescent="0.2">
      <c r="A2322" s="209"/>
      <c r="B2322" s="212"/>
      <c r="C2322" s="211"/>
      <c r="D2322" s="212"/>
      <c r="E2322" s="213"/>
      <c r="F2322" s="212"/>
      <c r="G2322" s="215"/>
    </row>
    <row r="2323" spans="1:7" s="1088" customFormat="1" ht="15" x14ac:dyDescent="0.25">
      <c r="A2323" s="216" t="s">
        <v>130</v>
      </c>
      <c r="B2323" s="212"/>
      <c r="C2323" s="211"/>
      <c r="D2323" s="212"/>
      <c r="E2323" s="213"/>
      <c r="F2323" s="214"/>
      <c r="G2323" s="215"/>
    </row>
    <row r="2324" spans="1:7" s="1088" customFormat="1" ht="14.25" x14ac:dyDescent="0.2">
      <c r="A2324" s="209"/>
      <c r="B2324" s="212"/>
      <c r="C2324" s="211"/>
      <c r="D2324" s="212"/>
      <c r="E2324" s="213"/>
      <c r="F2324" s="214"/>
      <c r="G2324" s="215"/>
    </row>
    <row r="2325" spans="1:7" s="1088" customFormat="1" ht="15" x14ac:dyDescent="0.25">
      <c r="A2325" s="1071" t="s">
        <v>116</v>
      </c>
      <c r="B2325" s="1072"/>
      <c r="C2325" s="236" t="s">
        <v>131</v>
      </c>
      <c r="D2325" s="235" t="s">
        <v>132</v>
      </c>
      <c r="E2325" s="236" t="s">
        <v>133</v>
      </c>
      <c r="F2325" s="237" t="s">
        <v>126</v>
      </c>
      <c r="G2325" s="238" t="s">
        <v>134</v>
      </c>
    </row>
    <row r="2326" spans="1:7" s="1088" customFormat="1" ht="14.25" x14ac:dyDescent="0.2">
      <c r="A2326" s="209" t="s">
        <v>10</v>
      </c>
      <c r="B2326" s="259"/>
      <c r="C2326" s="260">
        <f>M2</f>
        <v>22981.8</v>
      </c>
      <c r="D2326" s="261">
        <f>N2</f>
        <v>1.76</v>
      </c>
      <c r="E2326" s="276">
        <f>C2326*D2326</f>
        <v>40447.968000000001</v>
      </c>
      <c r="F2326" s="222">
        <f>1/40</f>
        <v>2.5000000000000001E-2</v>
      </c>
      <c r="G2326" s="224">
        <f>F2326*E2326</f>
        <v>1011.1992</v>
      </c>
    </row>
    <row r="2327" spans="1:7" s="1088" customFormat="1" ht="14.25" x14ac:dyDescent="0.2">
      <c r="A2327" s="209"/>
      <c r="B2327" s="259"/>
      <c r="C2327" s="260"/>
      <c r="D2327" s="261"/>
      <c r="E2327" s="276"/>
      <c r="F2327" s="222"/>
      <c r="G2327" s="224">
        <f>F2327*E2327</f>
        <v>0</v>
      </c>
    </row>
    <row r="2328" spans="1:7" s="1088" customFormat="1" ht="14.25" x14ac:dyDescent="0.2">
      <c r="A2328" s="209"/>
      <c r="B2328" s="245"/>
      <c r="C2328" s="265"/>
      <c r="D2328" s="246"/>
      <c r="E2328" s="265"/>
      <c r="F2328" s="266"/>
      <c r="G2328" s="267"/>
    </row>
    <row r="2329" spans="1:7" s="1088" customFormat="1" ht="14.25" x14ac:dyDescent="0.2">
      <c r="A2329" s="249"/>
      <c r="B2329" s="250"/>
      <c r="C2329" s="252"/>
      <c r="D2329" s="251"/>
      <c r="E2329" s="252"/>
      <c r="F2329" s="254"/>
      <c r="G2329" s="268"/>
    </row>
    <row r="2330" spans="1:7" s="1088" customFormat="1" ht="15" x14ac:dyDescent="0.25">
      <c r="A2330" s="209"/>
      <c r="B2330" s="212"/>
      <c r="C2330" s="211"/>
      <c r="D2330" s="212"/>
      <c r="E2330" s="269"/>
      <c r="F2330" s="269" t="s">
        <v>121</v>
      </c>
      <c r="G2330" s="270">
        <f>+SUM(G2326:G2329)</f>
        <v>1011.1992</v>
      </c>
    </row>
    <row r="2331" spans="1:7" s="1088" customFormat="1" ht="15" x14ac:dyDescent="0.25">
      <c r="A2331" s="209"/>
      <c r="B2331" s="212"/>
      <c r="C2331" s="211"/>
      <c r="D2331" s="212"/>
      <c r="E2331" s="257"/>
      <c r="F2331" s="257"/>
      <c r="G2331" s="271"/>
    </row>
    <row r="2332" spans="1:7" s="1088" customFormat="1" ht="15" x14ac:dyDescent="0.25">
      <c r="A2332" s="216" t="s">
        <v>135</v>
      </c>
      <c r="B2332" s="212"/>
      <c r="C2332" s="211"/>
      <c r="D2332" s="212"/>
      <c r="E2332" s="213"/>
      <c r="F2332" s="214"/>
      <c r="G2332" s="215"/>
    </row>
    <row r="2333" spans="1:7" s="1088" customFormat="1" ht="14.25" x14ac:dyDescent="0.2">
      <c r="A2333" s="209"/>
      <c r="B2333" s="212"/>
      <c r="C2333" s="211"/>
      <c r="D2333" s="212"/>
      <c r="E2333" s="213"/>
      <c r="F2333" s="214"/>
      <c r="G2333" s="215"/>
    </row>
    <row r="2334" spans="1:7" s="1088" customFormat="1" ht="15" x14ac:dyDescent="0.25">
      <c r="A2334" s="1071" t="s">
        <v>116</v>
      </c>
      <c r="B2334" s="1072"/>
      <c r="C2334" s="236" t="s">
        <v>117</v>
      </c>
      <c r="D2334" s="235" t="s">
        <v>136</v>
      </c>
      <c r="E2334" s="236" t="s">
        <v>124</v>
      </c>
      <c r="F2334" s="237" t="s">
        <v>126</v>
      </c>
      <c r="G2334" s="238" t="s">
        <v>134</v>
      </c>
    </row>
    <row r="2335" spans="1:7" s="1088" customFormat="1" ht="14.25" x14ac:dyDescent="0.2">
      <c r="A2335" s="209" t="s">
        <v>175</v>
      </c>
      <c r="B2335" s="286"/>
      <c r="C2335" s="287" t="s">
        <v>79</v>
      </c>
      <c r="D2335" s="261"/>
      <c r="E2335" s="276">
        <v>68000</v>
      </c>
      <c r="F2335" s="222">
        <f>1/60</f>
        <v>1.6666666666666666E-2</v>
      </c>
      <c r="G2335" s="224">
        <f>F2335*E2335</f>
        <v>1133.3333333333333</v>
      </c>
    </row>
    <row r="2336" spans="1:7" s="1088" customFormat="1" ht="14.25" x14ac:dyDescent="0.2">
      <c r="A2336" s="209"/>
      <c r="B2336" s="275"/>
      <c r="C2336" s="260"/>
      <c r="D2336" s="261"/>
      <c r="E2336" s="276"/>
      <c r="F2336" s="222"/>
      <c r="G2336" s="224"/>
    </row>
    <row r="2337" spans="1:7" s="1088" customFormat="1" ht="14.25" x14ac:dyDescent="0.2">
      <c r="A2337" s="209"/>
      <c r="B2337" s="259"/>
      <c r="C2337" s="260"/>
      <c r="D2337" s="261"/>
      <c r="E2337" s="276"/>
      <c r="F2337" s="222"/>
      <c r="G2337" s="224"/>
    </row>
    <row r="2338" spans="1:7" s="1088" customFormat="1" ht="14.25" x14ac:dyDescent="0.2">
      <c r="A2338" s="209"/>
      <c r="B2338" s="259"/>
      <c r="C2338" s="260"/>
      <c r="D2338" s="261"/>
      <c r="E2338" s="276"/>
      <c r="F2338" s="222"/>
      <c r="G2338" s="224"/>
    </row>
    <row r="2339" spans="1:7" s="1088" customFormat="1" ht="14.25" x14ac:dyDescent="0.2">
      <c r="A2339" s="209"/>
      <c r="B2339" s="245"/>
      <c r="C2339" s="265"/>
      <c r="D2339" s="246"/>
      <c r="E2339" s="265"/>
      <c r="F2339" s="266"/>
      <c r="G2339" s="267"/>
    </row>
    <row r="2340" spans="1:7" s="1088" customFormat="1" ht="14.25" x14ac:dyDescent="0.2">
      <c r="A2340" s="249"/>
      <c r="B2340" s="250"/>
      <c r="C2340" s="252"/>
      <c r="D2340" s="251"/>
      <c r="E2340" s="252"/>
      <c r="F2340" s="254"/>
      <c r="G2340" s="268"/>
    </row>
    <row r="2341" spans="1:7" s="1088" customFormat="1" ht="15" x14ac:dyDescent="0.25">
      <c r="A2341" s="209"/>
      <c r="B2341" s="212"/>
      <c r="C2341" s="211"/>
      <c r="D2341" s="212"/>
      <c r="E2341" s="269"/>
      <c r="F2341" s="269" t="s">
        <v>121</v>
      </c>
      <c r="G2341" s="270">
        <f>+SUM(G2335:G2340)</f>
        <v>1133.3333333333333</v>
      </c>
    </row>
    <row r="2342" spans="1:7" s="1088" customFormat="1" ht="14.25" x14ac:dyDescent="0.2">
      <c r="A2342" s="209"/>
      <c r="B2342" s="212"/>
      <c r="C2342" s="211"/>
      <c r="D2342" s="212"/>
      <c r="E2342" s="213"/>
      <c r="F2342" s="214"/>
      <c r="G2342" s="271"/>
    </row>
    <row r="2343" spans="1:7" s="1088" customFormat="1" ht="15" x14ac:dyDescent="0.25">
      <c r="A2343" s="277"/>
      <c r="B2343" s="278"/>
      <c r="C2343" s="278"/>
      <c r="D2343" s="278"/>
      <c r="E2343" s="279"/>
      <c r="F2343" s="280" t="s">
        <v>137</v>
      </c>
      <c r="G2343" s="283">
        <f>+ROUND(G2311+G2321+G2330+G2341,0)</f>
        <v>2695</v>
      </c>
    </row>
    <row r="2344" spans="1:7" s="1088" customFormat="1" ht="15" x14ac:dyDescent="0.25">
      <c r="A2344" s="212"/>
      <c r="B2344" s="212"/>
      <c r="C2344" s="212"/>
      <c r="D2344" s="212"/>
      <c r="E2344" s="211"/>
      <c r="F2344" s="257"/>
      <c r="G2344" s="257"/>
    </row>
    <row r="2345" spans="1:7" s="1088" customFormat="1" ht="14.25" x14ac:dyDescent="0.2"/>
    <row r="2346" spans="1:7" s="1088" customFormat="1" ht="15" x14ac:dyDescent="0.25">
      <c r="A2346" s="145" t="s">
        <v>160</v>
      </c>
      <c r="B2346" s="1262" t="s">
        <v>161</v>
      </c>
      <c r="C2346" s="1263"/>
      <c r="D2346" s="1263"/>
      <c r="E2346" s="1263"/>
      <c r="F2346" s="1264"/>
      <c r="G2346" s="146" t="s">
        <v>2</v>
      </c>
    </row>
    <row r="2347" spans="1:7" s="1088" customFormat="1" ht="15" x14ac:dyDescent="0.25">
      <c r="A2347" s="285">
        <f>'FORMATO PROPUESTA ECONÓMICA'!A72</f>
        <v>7.1</v>
      </c>
      <c r="B2347" s="1265" t="str">
        <f>'FORMATO PROPUESTA ECONÓMICA'!B72</f>
        <v>Union rapida polietileno 1/2" 20 mm PEAD</v>
      </c>
      <c r="C2347" s="1266"/>
      <c r="D2347" s="1266"/>
      <c r="E2347" s="1266"/>
      <c r="F2347" s="1267"/>
      <c r="G2347" s="187" t="str">
        <f>'FORMATO PROPUESTA ECONÓMICA'!C72</f>
        <v>und</v>
      </c>
    </row>
    <row r="2348" spans="1:7" s="1088" customFormat="1" ht="14.25" x14ac:dyDescent="0.2">
      <c r="A2348" s="209"/>
      <c r="B2348" s="210"/>
      <c r="C2348" s="211"/>
      <c r="D2348" s="212"/>
      <c r="E2348" s="213"/>
      <c r="F2348" s="214"/>
      <c r="G2348" s="215"/>
    </row>
    <row r="2349" spans="1:7" s="1088" customFormat="1" ht="15" x14ac:dyDescent="0.25">
      <c r="A2349" s="216" t="s">
        <v>115</v>
      </c>
      <c r="B2349" s="212"/>
      <c r="C2349" s="211"/>
      <c r="D2349" s="212"/>
      <c r="E2349" s="213"/>
      <c r="F2349" s="214"/>
      <c r="G2349" s="215"/>
    </row>
    <row r="2350" spans="1:7" s="1088" customFormat="1" ht="14.25" x14ac:dyDescent="0.2">
      <c r="A2350" s="209"/>
      <c r="B2350" s="212"/>
      <c r="C2350" s="211"/>
      <c r="D2350" s="212"/>
      <c r="E2350" s="213"/>
      <c r="F2350" s="214"/>
      <c r="G2350" s="215"/>
    </row>
    <row r="2351" spans="1:7" s="1088" customFormat="1" ht="15" x14ac:dyDescent="0.25">
      <c r="A2351" s="1075" t="s">
        <v>116</v>
      </c>
      <c r="B2351" s="1076"/>
      <c r="C2351" s="217" t="s">
        <v>117</v>
      </c>
      <c r="D2351" s="1075" t="s">
        <v>118</v>
      </c>
      <c r="E2351" s="218" t="s">
        <v>39</v>
      </c>
      <c r="F2351" s="237" t="s">
        <v>126</v>
      </c>
      <c r="G2351" s="219" t="s">
        <v>120</v>
      </c>
    </row>
    <row r="2352" spans="1:7" s="1088" customFormat="1" ht="15" customHeight="1" x14ac:dyDescent="0.2">
      <c r="A2352" s="209"/>
      <c r="B2352" s="286"/>
      <c r="C2352" s="220"/>
      <c r="D2352" s="261"/>
      <c r="E2352" s="276"/>
      <c r="F2352" s="222"/>
      <c r="G2352" s="224"/>
    </row>
    <row r="2353" spans="1:7" s="1088" customFormat="1" ht="14.25" x14ac:dyDescent="0.2">
      <c r="A2353" s="1060"/>
      <c r="B2353" s="1068"/>
      <c r="C2353" s="225"/>
      <c r="D2353" s="221"/>
      <c r="E2353" s="226"/>
      <c r="F2353" s="227"/>
      <c r="G2353" s="228">
        <f>D2353*E2353</f>
        <v>0</v>
      </c>
    </row>
    <row r="2354" spans="1:7" s="1088" customFormat="1" ht="14.25" x14ac:dyDescent="0.2">
      <c r="A2354" s="1060"/>
      <c r="B2354" s="1068"/>
      <c r="C2354" s="229"/>
      <c r="D2354" s="221"/>
      <c r="E2354" s="226"/>
      <c r="F2354" s="227"/>
      <c r="G2354" s="228">
        <f>D2354*E2354</f>
        <v>0</v>
      </c>
    </row>
    <row r="2355" spans="1:7" s="1088" customFormat="1" ht="14.25" x14ac:dyDescent="0.2">
      <c r="A2355" s="1060"/>
      <c r="B2355" s="1068"/>
      <c r="C2355" s="225"/>
      <c r="D2355" s="221"/>
      <c r="E2355" s="226"/>
      <c r="F2355" s="227"/>
      <c r="G2355" s="228">
        <f>D2355*E2355</f>
        <v>0</v>
      </c>
    </row>
    <row r="2356" spans="1:7" s="1088" customFormat="1" ht="14.25" x14ac:dyDescent="0.2">
      <c r="A2356" s="1069"/>
      <c r="B2356" s="1070"/>
      <c r="C2356" s="230"/>
      <c r="D2356" s="231"/>
      <c r="E2356" s="232"/>
      <c r="F2356" s="233"/>
      <c r="G2356" s="228">
        <f>D2356*E2356</f>
        <v>0</v>
      </c>
    </row>
    <row r="2357" spans="1:7" s="1088" customFormat="1" ht="15" x14ac:dyDescent="0.25">
      <c r="A2357" s="1073"/>
      <c r="B2357" s="210"/>
      <c r="C2357" s="211"/>
      <c r="D2357" s="212"/>
      <c r="E2357" s="212"/>
      <c r="F2357" s="234" t="s">
        <v>121</v>
      </c>
      <c r="G2357" s="231">
        <f>+SUM(G2352:G2356)</f>
        <v>0</v>
      </c>
    </row>
    <row r="2358" spans="1:7" s="1088" customFormat="1" ht="14.25" x14ac:dyDescent="0.2">
      <c r="A2358" s="209"/>
      <c r="B2358" s="212"/>
      <c r="C2358" s="211" t="s">
        <v>123</v>
      </c>
      <c r="D2358" s="212"/>
      <c r="E2358" s="213"/>
      <c r="F2358" s="214"/>
      <c r="G2358" s="215"/>
    </row>
    <row r="2359" spans="1:7" s="1088" customFormat="1" ht="15" x14ac:dyDescent="0.25">
      <c r="A2359" s="216" t="s">
        <v>122</v>
      </c>
      <c r="B2359" s="212"/>
      <c r="C2359" s="211" t="s">
        <v>123</v>
      </c>
      <c r="D2359" s="212"/>
      <c r="E2359" s="213"/>
      <c r="F2359" s="214"/>
      <c r="G2359" s="215"/>
    </row>
    <row r="2360" spans="1:7" s="1088" customFormat="1" ht="14.25" x14ac:dyDescent="0.2">
      <c r="A2360" s="209"/>
      <c r="B2360" s="212"/>
      <c r="C2360" s="211"/>
      <c r="D2360" s="212"/>
      <c r="E2360" s="213"/>
      <c r="F2360" s="214"/>
      <c r="G2360" s="215"/>
    </row>
    <row r="2361" spans="1:7" s="1088" customFormat="1" ht="15" x14ac:dyDescent="0.25">
      <c r="A2361" s="1071" t="s">
        <v>116</v>
      </c>
      <c r="B2361" s="1072"/>
      <c r="C2361" s="235" t="s">
        <v>117</v>
      </c>
      <c r="D2361" s="236" t="s">
        <v>124</v>
      </c>
      <c r="E2361" s="236" t="s">
        <v>125</v>
      </c>
      <c r="F2361" s="237" t="s">
        <v>126</v>
      </c>
      <c r="G2361" s="238" t="s">
        <v>120</v>
      </c>
    </row>
    <row r="2362" spans="1:7" s="1088" customFormat="1" ht="28.5" x14ac:dyDescent="0.2">
      <c r="A2362" s="1066" t="s">
        <v>127</v>
      </c>
      <c r="B2362" s="1067"/>
      <c r="C2362" s="239" t="s">
        <v>128</v>
      </c>
      <c r="D2362" s="240"/>
      <c r="E2362" s="241"/>
      <c r="F2362" s="222"/>
      <c r="G2362" s="242">
        <f>G2376*0.05</f>
        <v>67.41328</v>
      </c>
    </row>
    <row r="2363" spans="1:7" s="1088" customFormat="1" ht="14.25" x14ac:dyDescent="0.2">
      <c r="A2363" s="1256" t="s">
        <v>178</v>
      </c>
      <c r="B2363" s="1257"/>
      <c r="C2363" s="220"/>
      <c r="D2363" s="261"/>
      <c r="E2363" s="289">
        <v>1</v>
      </c>
      <c r="F2363" s="290">
        <v>1</v>
      </c>
      <c r="G2363" s="242">
        <f>D2363*F2363</f>
        <v>0</v>
      </c>
    </row>
    <row r="2364" spans="1:7" s="1088" customFormat="1" ht="14.25" x14ac:dyDescent="0.2">
      <c r="A2364" s="1073"/>
      <c r="B2364" s="1074"/>
      <c r="C2364" s="243"/>
      <c r="D2364" s="221"/>
      <c r="E2364" s="244"/>
      <c r="F2364" s="222"/>
      <c r="G2364" s="224"/>
    </row>
    <row r="2365" spans="1:7" s="1088" customFormat="1" ht="14.25" x14ac:dyDescent="0.2">
      <c r="A2365" s="209"/>
      <c r="B2365" s="245"/>
      <c r="C2365" s="246"/>
      <c r="D2365" s="221"/>
      <c r="E2365" s="247"/>
      <c r="F2365" s="222"/>
      <c r="G2365" s="248"/>
    </row>
    <row r="2366" spans="1:7" s="1088" customFormat="1" ht="14.25" x14ac:dyDescent="0.2">
      <c r="A2366" s="249"/>
      <c r="B2366" s="250"/>
      <c r="C2366" s="251"/>
      <c r="D2366" s="252"/>
      <c r="E2366" s="253"/>
      <c r="F2366" s="254"/>
      <c r="G2366" s="255"/>
    </row>
    <row r="2367" spans="1:7" s="1088" customFormat="1" ht="15" x14ac:dyDescent="0.25">
      <c r="A2367" s="209"/>
      <c r="B2367" s="214"/>
      <c r="C2367" s="256"/>
      <c r="D2367" s="214"/>
      <c r="E2367" s="212"/>
      <c r="F2367" s="257" t="s">
        <v>121</v>
      </c>
      <c r="G2367" s="258">
        <f>+SUM(G2362:G2366)</f>
        <v>67.41328</v>
      </c>
    </row>
    <row r="2368" spans="1:7" s="1088" customFormat="1" ht="14.25" x14ac:dyDescent="0.2">
      <c r="A2368" s="209"/>
      <c r="B2368" s="212"/>
      <c r="C2368" s="211"/>
      <c r="D2368" s="212"/>
      <c r="E2368" s="213"/>
      <c r="F2368" s="212"/>
      <c r="G2368" s="215"/>
    </row>
    <row r="2369" spans="1:7" s="1088" customFormat="1" ht="15" x14ac:dyDescent="0.25">
      <c r="A2369" s="216" t="s">
        <v>130</v>
      </c>
      <c r="B2369" s="212"/>
      <c r="C2369" s="211"/>
      <c r="D2369" s="212"/>
      <c r="E2369" s="213"/>
      <c r="F2369" s="214"/>
      <c r="G2369" s="215"/>
    </row>
    <row r="2370" spans="1:7" s="1088" customFormat="1" ht="14.25" x14ac:dyDescent="0.2">
      <c r="A2370" s="209"/>
      <c r="B2370" s="212"/>
      <c r="C2370" s="211"/>
      <c r="D2370" s="212"/>
      <c r="E2370" s="213"/>
      <c r="F2370" s="214"/>
      <c r="G2370" s="215"/>
    </row>
    <row r="2371" spans="1:7" s="1088" customFormat="1" ht="15" x14ac:dyDescent="0.25">
      <c r="A2371" s="1071" t="s">
        <v>116</v>
      </c>
      <c r="B2371" s="1072"/>
      <c r="C2371" s="236" t="s">
        <v>131</v>
      </c>
      <c r="D2371" s="235" t="s">
        <v>132</v>
      </c>
      <c r="E2371" s="236" t="s">
        <v>133</v>
      </c>
      <c r="F2371" s="237" t="s">
        <v>126</v>
      </c>
      <c r="G2371" s="238" t="s">
        <v>134</v>
      </c>
    </row>
    <row r="2372" spans="1:7" s="1088" customFormat="1" ht="14.25" x14ac:dyDescent="0.2">
      <c r="A2372" s="209" t="s">
        <v>10</v>
      </c>
      <c r="B2372" s="259"/>
      <c r="C2372" s="260">
        <f>M2</f>
        <v>22981.8</v>
      </c>
      <c r="D2372" s="261">
        <f>N2</f>
        <v>1.76</v>
      </c>
      <c r="E2372" s="276">
        <f>C2372*D2372</f>
        <v>40447.968000000001</v>
      </c>
      <c r="F2372" s="222">
        <f>1/30</f>
        <v>3.3333333333333333E-2</v>
      </c>
      <c r="G2372" s="224">
        <f>F2372*E2372</f>
        <v>1348.2655999999999</v>
      </c>
    </row>
    <row r="2373" spans="1:7" s="1088" customFormat="1" ht="14.25" x14ac:dyDescent="0.2">
      <c r="A2373" s="209"/>
      <c r="B2373" s="259"/>
      <c r="C2373" s="260"/>
      <c r="D2373" s="261"/>
      <c r="E2373" s="276"/>
      <c r="F2373" s="222"/>
      <c r="G2373" s="224">
        <f>F2373*E2373</f>
        <v>0</v>
      </c>
    </row>
    <row r="2374" spans="1:7" s="1088" customFormat="1" ht="14.25" x14ac:dyDescent="0.2">
      <c r="A2374" s="209"/>
      <c r="B2374" s="245"/>
      <c r="C2374" s="265"/>
      <c r="D2374" s="246"/>
      <c r="E2374" s="265"/>
      <c r="F2374" s="266"/>
      <c r="G2374" s="267"/>
    </row>
    <row r="2375" spans="1:7" s="1088" customFormat="1" ht="14.25" x14ac:dyDescent="0.2">
      <c r="A2375" s="249"/>
      <c r="B2375" s="250"/>
      <c r="C2375" s="252"/>
      <c r="D2375" s="251"/>
      <c r="E2375" s="252"/>
      <c r="F2375" s="254"/>
      <c r="G2375" s="268"/>
    </row>
    <row r="2376" spans="1:7" s="1088" customFormat="1" ht="15" x14ac:dyDescent="0.25">
      <c r="A2376" s="209"/>
      <c r="B2376" s="212"/>
      <c r="C2376" s="211"/>
      <c r="D2376" s="212"/>
      <c r="E2376" s="269"/>
      <c r="F2376" s="269" t="s">
        <v>121</v>
      </c>
      <c r="G2376" s="270">
        <f>+SUM(G2372:G2375)</f>
        <v>1348.2655999999999</v>
      </c>
    </row>
    <row r="2377" spans="1:7" s="1088" customFormat="1" ht="15" x14ac:dyDescent="0.25">
      <c r="A2377" s="209"/>
      <c r="B2377" s="212"/>
      <c r="C2377" s="211"/>
      <c r="D2377" s="212"/>
      <c r="E2377" s="257"/>
      <c r="F2377" s="257"/>
      <c r="G2377" s="271"/>
    </row>
    <row r="2378" spans="1:7" s="1088" customFormat="1" ht="15" x14ac:dyDescent="0.25">
      <c r="A2378" s="216" t="s">
        <v>135</v>
      </c>
      <c r="B2378" s="212"/>
      <c r="C2378" s="211"/>
      <c r="D2378" s="212"/>
      <c r="E2378" s="213"/>
      <c r="F2378" s="214"/>
      <c r="G2378" s="215"/>
    </row>
    <row r="2379" spans="1:7" s="1088" customFormat="1" ht="14.25" x14ac:dyDescent="0.2">
      <c r="A2379" s="209"/>
      <c r="B2379" s="212"/>
      <c r="C2379" s="211"/>
      <c r="D2379" s="212"/>
      <c r="E2379" s="213"/>
      <c r="F2379" s="214"/>
      <c r="G2379" s="215"/>
    </row>
    <row r="2380" spans="1:7" s="1088" customFormat="1" ht="15" x14ac:dyDescent="0.25">
      <c r="A2380" s="1071" t="s">
        <v>116</v>
      </c>
      <c r="B2380" s="1072"/>
      <c r="C2380" s="236" t="s">
        <v>117</v>
      </c>
      <c r="D2380" s="235" t="s">
        <v>136</v>
      </c>
      <c r="E2380" s="236" t="s">
        <v>124</v>
      </c>
      <c r="F2380" s="237" t="s">
        <v>126</v>
      </c>
      <c r="G2380" s="238" t="s">
        <v>134</v>
      </c>
    </row>
    <row r="2381" spans="1:7" s="1088" customFormat="1" ht="14.25" x14ac:dyDescent="0.2">
      <c r="A2381" s="209" t="s">
        <v>175</v>
      </c>
      <c r="B2381" s="286"/>
      <c r="C2381" s="287" t="s">
        <v>79</v>
      </c>
      <c r="D2381" s="261"/>
      <c r="E2381" s="276">
        <v>68000</v>
      </c>
      <c r="F2381" s="222">
        <f>1/60</f>
        <v>1.6666666666666666E-2</v>
      </c>
      <c r="G2381" s="224">
        <f>F2381*E2381</f>
        <v>1133.3333333333333</v>
      </c>
    </row>
    <row r="2382" spans="1:7" s="1088" customFormat="1" ht="14.25" x14ac:dyDescent="0.2">
      <c r="A2382" s="209"/>
      <c r="B2382" s="275"/>
      <c r="C2382" s="260"/>
      <c r="D2382" s="261"/>
      <c r="E2382" s="276"/>
      <c r="F2382" s="222"/>
      <c r="G2382" s="224"/>
    </row>
    <row r="2383" spans="1:7" s="1088" customFormat="1" ht="14.25" x14ac:dyDescent="0.2">
      <c r="A2383" s="209"/>
      <c r="B2383" s="259"/>
      <c r="C2383" s="260"/>
      <c r="D2383" s="261"/>
      <c r="E2383" s="276"/>
      <c r="F2383" s="222"/>
      <c r="G2383" s="224"/>
    </row>
    <row r="2384" spans="1:7" s="1088" customFormat="1" ht="14.25" x14ac:dyDescent="0.2">
      <c r="A2384" s="209"/>
      <c r="B2384" s="259"/>
      <c r="C2384" s="260"/>
      <c r="D2384" s="261"/>
      <c r="E2384" s="276"/>
      <c r="F2384" s="222"/>
      <c r="G2384" s="224"/>
    </row>
    <row r="2385" spans="1:8" s="1088" customFormat="1" ht="14.25" x14ac:dyDescent="0.2">
      <c r="A2385" s="209"/>
      <c r="B2385" s="245"/>
      <c r="C2385" s="265"/>
      <c r="D2385" s="246"/>
      <c r="E2385" s="265"/>
      <c r="F2385" s="266"/>
      <c r="G2385" s="267"/>
    </row>
    <row r="2386" spans="1:8" s="1088" customFormat="1" ht="14.25" x14ac:dyDescent="0.2">
      <c r="A2386" s="249"/>
      <c r="B2386" s="250"/>
      <c r="C2386" s="252"/>
      <c r="D2386" s="251"/>
      <c r="E2386" s="252"/>
      <c r="F2386" s="254"/>
      <c r="G2386" s="268"/>
    </row>
    <row r="2387" spans="1:8" s="1088" customFormat="1" ht="15" x14ac:dyDescent="0.25">
      <c r="A2387" s="209"/>
      <c r="B2387" s="212"/>
      <c r="C2387" s="211"/>
      <c r="D2387" s="212"/>
      <c r="E2387" s="269"/>
      <c r="F2387" s="269" t="s">
        <v>121</v>
      </c>
      <c r="G2387" s="270">
        <f>+SUM(G2381:G2386)</f>
        <v>1133.3333333333333</v>
      </c>
    </row>
    <row r="2388" spans="1:8" s="1088" customFormat="1" ht="14.25" x14ac:dyDescent="0.2">
      <c r="A2388" s="209"/>
      <c r="B2388" s="212"/>
      <c r="C2388" s="211"/>
      <c r="D2388" s="212"/>
      <c r="E2388" s="213"/>
      <c r="F2388" s="214"/>
      <c r="G2388" s="271"/>
    </row>
    <row r="2389" spans="1:8" s="1088" customFormat="1" ht="15" x14ac:dyDescent="0.25">
      <c r="A2389" s="277"/>
      <c r="B2389" s="278"/>
      <c r="C2389" s="278"/>
      <c r="D2389" s="278"/>
      <c r="E2389" s="279"/>
      <c r="F2389" s="280" t="s">
        <v>137</v>
      </c>
      <c r="G2389" s="283">
        <f>+ROUND(G2357+G2367+G2376+G2387,0)</f>
        <v>2549</v>
      </c>
    </row>
    <row r="2390" spans="1:8" ht="15" x14ac:dyDescent="0.25">
      <c r="A2390" s="58"/>
      <c r="B2390" s="54"/>
      <c r="C2390" s="54"/>
      <c r="D2390" s="54"/>
      <c r="E2390" s="55"/>
      <c r="F2390" s="103"/>
      <c r="G2390" s="291"/>
      <c r="H2390" s="134"/>
    </row>
    <row r="2391" spans="1:8" s="1088" customFormat="1" ht="15" x14ac:dyDescent="0.25">
      <c r="A2391" s="145" t="s">
        <v>160</v>
      </c>
      <c r="B2391" s="1262" t="s">
        <v>161</v>
      </c>
      <c r="C2391" s="1263"/>
      <c r="D2391" s="1263"/>
      <c r="E2391" s="1263"/>
      <c r="F2391" s="1264"/>
      <c r="G2391" s="146" t="s">
        <v>2</v>
      </c>
    </row>
    <row r="2392" spans="1:8" s="1088" customFormat="1" ht="15" x14ac:dyDescent="0.25">
      <c r="A2392" s="285">
        <f>'FORMATO PROPUESTA ECONÓMICA'!A73</f>
        <v>7.11</v>
      </c>
      <c r="B2392" s="1265" t="str">
        <f>'FORMATO PROPUESTA ECONÓMICA'!B73</f>
        <v>Registro corte antifraude 20mm o 25 mm</v>
      </c>
      <c r="C2392" s="1266"/>
      <c r="D2392" s="1266"/>
      <c r="E2392" s="1266"/>
      <c r="F2392" s="1267"/>
      <c r="G2392" s="187" t="str">
        <f>'FORMATO PROPUESTA ECONÓMICA'!C73</f>
        <v>und</v>
      </c>
    </row>
    <row r="2393" spans="1:8" s="1088" customFormat="1" ht="14.25" x14ac:dyDescent="0.2">
      <c r="A2393" s="209"/>
      <c r="B2393" s="210"/>
      <c r="C2393" s="211"/>
      <c r="D2393" s="212"/>
      <c r="E2393" s="213"/>
      <c r="F2393" s="214"/>
      <c r="G2393" s="215"/>
    </row>
    <row r="2394" spans="1:8" s="1088" customFormat="1" ht="15" x14ac:dyDescent="0.25">
      <c r="A2394" s="216" t="s">
        <v>115</v>
      </c>
      <c r="B2394" s="212"/>
      <c r="C2394" s="211"/>
      <c r="D2394" s="212"/>
      <c r="E2394" s="213"/>
      <c r="F2394" s="214"/>
      <c r="G2394" s="215"/>
    </row>
    <row r="2395" spans="1:8" s="1088" customFormat="1" ht="14.25" x14ac:dyDescent="0.2">
      <c r="A2395" s="209"/>
      <c r="B2395" s="212"/>
      <c r="C2395" s="211"/>
      <c r="D2395" s="212"/>
      <c r="E2395" s="213"/>
      <c r="F2395" s="214"/>
      <c r="G2395" s="215"/>
    </row>
    <row r="2396" spans="1:8" s="1088" customFormat="1" ht="15" customHeight="1" x14ac:dyDescent="0.25">
      <c r="A2396" s="1075" t="s">
        <v>116</v>
      </c>
      <c r="B2396" s="1076"/>
      <c r="C2396" s="217" t="s">
        <v>117</v>
      </c>
      <c r="D2396" s="1075" t="s">
        <v>118</v>
      </c>
      <c r="E2396" s="218" t="s">
        <v>39</v>
      </c>
      <c r="F2396" s="237" t="s">
        <v>126</v>
      </c>
      <c r="G2396" s="219" t="s">
        <v>120</v>
      </c>
    </row>
    <row r="2397" spans="1:8" s="1088" customFormat="1" ht="14.25" x14ac:dyDescent="0.2">
      <c r="A2397" s="209"/>
      <c r="B2397" s="286"/>
      <c r="C2397" s="220"/>
      <c r="D2397" s="261"/>
      <c r="E2397" s="276"/>
      <c r="F2397" s="222"/>
      <c r="G2397" s="224"/>
    </row>
    <row r="2398" spans="1:8" s="1088" customFormat="1" ht="14.25" x14ac:dyDescent="0.2">
      <c r="A2398" s="1060"/>
      <c r="B2398" s="1068"/>
      <c r="C2398" s="225"/>
      <c r="D2398" s="221"/>
      <c r="E2398" s="226"/>
      <c r="F2398" s="227"/>
      <c r="G2398" s="228">
        <f>D2398*E2398</f>
        <v>0</v>
      </c>
    </row>
    <row r="2399" spans="1:8" s="1088" customFormat="1" ht="14.25" x14ac:dyDescent="0.2">
      <c r="A2399" s="1060"/>
      <c r="B2399" s="1068"/>
      <c r="C2399" s="229"/>
      <c r="D2399" s="221"/>
      <c r="E2399" s="226"/>
      <c r="F2399" s="227"/>
      <c r="G2399" s="228">
        <f>D2399*E2399</f>
        <v>0</v>
      </c>
    </row>
    <row r="2400" spans="1:8" s="1088" customFormat="1" ht="14.25" x14ac:dyDescent="0.2">
      <c r="A2400" s="1060"/>
      <c r="B2400" s="1068"/>
      <c r="C2400" s="225"/>
      <c r="D2400" s="221"/>
      <c r="E2400" s="226"/>
      <c r="F2400" s="227"/>
      <c r="G2400" s="228">
        <f>D2400*E2400</f>
        <v>0</v>
      </c>
    </row>
    <row r="2401" spans="1:7" s="1088" customFormat="1" ht="14.25" x14ac:dyDescent="0.2">
      <c r="A2401" s="1069"/>
      <c r="B2401" s="1070"/>
      <c r="C2401" s="230"/>
      <c r="D2401" s="231"/>
      <c r="E2401" s="232"/>
      <c r="F2401" s="233"/>
      <c r="G2401" s="228">
        <f>D2401*E2401</f>
        <v>0</v>
      </c>
    </row>
    <row r="2402" spans="1:7" s="1088" customFormat="1" ht="15" x14ac:dyDescent="0.25">
      <c r="A2402" s="1073"/>
      <c r="B2402" s="210"/>
      <c r="C2402" s="211"/>
      <c r="D2402" s="212"/>
      <c r="E2402" s="212"/>
      <c r="F2402" s="234" t="s">
        <v>121</v>
      </c>
      <c r="G2402" s="231">
        <f>+SUM(G2397:G2401)</f>
        <v>0</v>
      </c>
    </row>
    <row r="2403" spans="1:7" s="1088" customFormat="1" ht="14.25" x14ac:dyDescent="0.2">
      <c r="A2403" s="209"/>
      <c r="B2403" s="212"/>
      <c r="C2403" s="211" t="s">
        <v>123</v>
      </c>
      <c r="D2403" s="212"/>
      <c r="E2403" s="213"/>
      <c r="F2403" s="214"/>
      <c r="G2403" s="215"/>
    </row>
    <row r="2404" spans="1:7" s="1088" customFormat="1" ht="15" x14ac:dyDescent="0.25">
      <c r="A2404" s="216" t="s">
        <v>122</v>
      </c>
      <c r="B2404" s="212"/>
      <c r="C2404" s="211" t="s">
        <v>123</v>
      </c>
      <c r="D2404" s="212"/>
      <c r="E2404" s="213"/>
      <c r="F2404" s="214"/>
      <c r="G2404" s="215"/>
    </row>
    <row r="2405" spans="1:7" s="1088" customFormat="1" ht="14.25" x14ac:dyDescent="0.2">
      <c r="A2405" s="209"/>
      <c r="B2405" s="212"/>
      <c r="C2405" s="211"/>
      <c r="D2405" s="212"/>
      <c r="E2405" s="213"/>
      <c r="F2405" s="214"/>
      <c r="G2405" s="215"/>
    </row>
    <row r="2406" spans="1:7" s="1088" customFormat="1" ht="15" x14ac:dyDescent="0.25">
      <c r="A2406" s="1071" t="s">
        <v>116</v>
      </c>
      <c r="B2406" s="1072"/>
      <c r="C2406" s="235" t="s">
        <v>117</v>
      </c>
      <c r="D2406" s="236" t="s">
        <v>124</v>
      </c>
      <c r="E2406" s="236" t="s">
        <v>125</v>
      </c>
      <c r="F2406" s="237" t="s">
        <v>126</v>
      </c>
      <c r="G2406" s="238" t="s">
        <v>120</v>
      </c>
    </row>
    <row r="2407" spans="1:7" s="1088" customFormat="1" ht="28.5" x14ac:dyDescent="0.2">
      <c r="A2407" s="1066" t="s">
        <v>127</v>
      </c>
      <c r="B2407" s="1067"/>
      <c r="C2407" s="239" t="s">
        <v>128</v>
      </c>
      <c r="D2407" s="240"/>
      <c r="E2407" s="241"/>
      <c r="F2407" s="222"/>
      <c r="G2407" s="242">
        <f>G2421*0.05</f>
        <v>404.47968000000003</v>
      </c>
    </row>
    <row r="2408" spans="1:7" s="1088" customFormat="1" ht="14.25" x14ac:dyDescent="0.2">
      <c r="A2408" s="1256" t="str">
        <f>B2392</f>
        <v>Registro corte antifraude 20mm o 25 mm</v>
      </c>
      <c r="B2408" s="1257"/>
      <c r="C2408" s="220"/>
      <c r="D2408" s="261"/>
      <c r="E2408" s="289">
        <v>1</v>
      </c>
      <c r="F2408" s="290">
        <v>1</v>
      </c>
      <c r="G2408" s="242">
        <f>D2408*F2408</f>
        <v>0</v>
      </c>
    </row>
    <row r="2409" spans="1:7" s="1088" customFormat="1" ht="14.25" x14ac:dyDescent="0.2">
      <c r="A2409" s="1073"/>
      <c r="B2409" s="1074"/>
      <c r="C2409" s="243"/>
      <c r="D2409" s="221"/>
      <c r="E2409" s="244"/>
      <c r="F2409" s="222"/>
      <c r="G2409" s="224"/>
    </row>
    <row r="2410" spans="1:7" s="1088" customFormat="1" ht="14.25" x14ac:dyDescent="0.2">
      <c r="A2410" s="209"/>
      <c r="B2410" s="245"/>
      <c r="C2410" s="246"/>
      <c r="D2410" s="221"/>
      <c r="E2410" s="247"/>
      <c r="F2410" s="222"/>
      <c r="G2410" s="248"/>
    </row>
    <row r="2411" spans="1:7" s="1088" customFormat="1" ht="14.25" x14ac:dyDescent="0.2">
      <c r="A2411" s="249"/>
      <c r="B2411" s="250"/>
      <c r="C2411" s="251"/>
      <c r="D2411" s="252"/>
      <c r="E2411" s="253"/>
      <c r="F2411" s="254"/>
      <c r="G2411" s="255"/>
    </row>
    <row r="2412" spans="1:7" s="1088" customFormat="1" ht="15" x14ac:dyDescent="0.25">
      <c r="A2412" s="209"/>
      <c r="B2412" s="214"/>
      <c r="C2412" s="256"/>
      <c r="D2412" s="214"/>
      <c r="E2412" s="212"/>
      <c r="F2412" s="257" t="s">
        <v>121</v>
      </c>
      <c r="G2412" s="258">
        <f>+SUM(G2407:G2411)</f>
        <v>404.47968000000003</v>
      </c>
    </row>
    <row r="2413" spans="1:7" s="1088" customFormat="1" ht="14.25" x14ac:dyDescent="0.2">
      <c r="A2413" s="209"/>
      <c r="B2413" s="212"/>
      <c r="C2413" s="211"/>
      <c r="D2413" s="212"/>
      <c r="E2413" s="213"/>
      <c r="F2413" s="212"/>
      <c r="G2413" s="215"/>
    </row>
    <row r="2414" spans="1:7" s="1088" customFormat="1" ht="15" x14ac:dyDescent="0.25">
      <c r="A2414" s="216" t="s">
        <v>130</v>
      </c>
      <c r="B2414" s="212"/>
      <c r="C2414" s="211"/>
      <c r="D2414" s="212"/>
      <c r="E2414" s="213"/>
      <c r="F2414" s="214"/>
      <c r="G2414" s="215"/>
    </row>
    <row r="2415" spans="1:7" s="1088" customFormat="1" ht="14.25" x14ac:dyDescent="0.2">
      <c r="A2415" s="209"/>
      <c r="B2415" s="212"/>
      <c r="C2415" s="211"/>
      <c r="D2415" s="212"/>
      <c r="E2415" s="213"/>
      <c r="F2415" s="214"/>
      <c r="G2415" s="215"/>
    </row>
    <row r="2416" spans="1:7" s="1088" customFormat="1" ht="15" x14ac:dyDescent="0.25">
      <c r="A2416" s="1071" t="s">
        <v>116</v>
      </c>
      <c r="B2416" s="1072"/>
      <c r="C2416" s="236" t="s">
        <v>131</v>
      </c>
      <c r="D2416" s="235" t="s">
        <v>132</v>
      </c>
      <c r="E2416" s="236" t="s">
        <v>133</v>
      </c>
      <c r="F2416" s="237" t="s">
        <v>126</v>
      </c>
      <c r="G2416" s="238" t="s">
        <v>134</v>
      </c>
    </row>
    <row r="2417" spans="1:7" s="1088" customFormat="1" ht="14.25" x14ac:dyDescent="0.2">
      <c r="A2417" s="209" t="s">
        <v>10</v>
      </c>
      <c r="B2417" s="259"/>
      <c r="C2417" s="260">
        <f>M2</f>
        <v>22981.8</v>
      </c>
      <c r="D2417" s="261">
        <f>N2</f>
        <v>1.76</v>
      </c>
      <c r="E2417" s="276">
        <f>C2417*D2417</f>
        <v>40447.968000000001</v>
      </c>
      <c r="F2417" s="222">
        <f>1/5</f>
        <v>0.2</v>
      </c>
      <c r="G2417" s="224">
        <f>F2417*E2417</f>
        <v>8089.5936000000002</v>
      </c>
    </row>
    <row r="2418" spans="1:7" s="1088" customFormat="1" ht="14.25" x14ac:dyDescent="0.2">
      <c r="A2418" s="209"/>
      <c r="B2418" s="259"/>
      <c r="C2418" s="260"/>
      <c r="D2418" s="261"/>
      <c r="E2418" s="276"/>
      <c r="F2418" s="222"/>
      <c r="G2418" s="224">
        <f>F2418*E2418</f>
        <v>0</v>
      </c>
    </row>
    <row r="2419" spans="1:7" s="1088" customFormat="1" ht="14.25" x14ac:dyDescent="0.2">
      <c r="A2419" s="209"/>
      <c r="B2419" s="245"/>
      <c r="C2419" s="265"/>
      <c r="D2419" s="246"/>
      <c r="E2419" s="265"/>
      <c r="F2419" s="266"/>
      <c r="G2419" s="267"/>
    </row>
    <row r="2420" spans="1:7" s="1088" customFormat="1" ht="14.25" x14ac:dyDescent="0.2">
      <c r="A2420" s="249"/>
      <c r="B2420" s="250"/>
      <c r="C2420" s="252"/>
      <c r="D2420" s="251"/>
      <c r="E2420" s="252"/>
      <c r="F2420" s="254"/>
      <c r="G2420" s="268"/>
    </row>
    <row r="2421" spans="1:7" s="1088" customFormat="1" ht="15" x14ac:dyDescent="0.25">
      <c r="A2421" s="209"/>
      <c r="B2421" s="212"/>
      <c r="C2421" s="211"/>
      <c r="D2421" s="212"/>
      <c r="E2421" s="269"/>
      <c r="F2421" s="269" t="s">
        <v>121</v>
      </c>
      <c r="G2421" s="270">
        <f>+SUM(G2417:G2420)</f>
        <v>8089.5936000000002</v>
      </c>
    </row>
    <row r="2422" spans="1:7" s="1088" customFormat="1" ht="15" x14ac:dyDescent="0.25">
      <c r="A2422" s="209"/>
      <c r="B2422" s="212"/>
      <c r="C2422" s="211"/>
      <c r="D2422" s="212"/>
      <c r="E2422" s="257"/>
      <c r="F2422" s="257"/>
      <c r="G2422" s="271"/>
    </row>
    <row r="2423" spans="1:7" s="1088" customFormat="1" ht="15" x14ac:dyDescent="0.25">
      <c r="A2423" s="216" t="s">
        <v>135</v>
      </c>
      <c r="B2423" s="212"/>
      <c r="C2423" s="211"/>
      <c r="D2423" s="212"/>
      <c r="E2423" s="213"/>
      <c r="F2423" s="214"/>
      <c r="G2423" s="215"/>
    </row>
    <row r="2424" spans="1:7" s="1088" customFormat="1" ht="14.25" x14ac:dyDescent="0.2">
      <c r="A2424" s="209"/>
      <c r="B2424" s="212"/>
      <c r="C2424" s="211"/>
      <c r="D2424" s="212"/>
      <c r="E2424" s="213"/>
      <c r="F2424" s="214"/>
      <c r="G2424" s="215"/>
    </row>
    <row r="2425" spans="1:7" s="1088" customFormat="1" ht="15" x14ac:dyDescent="0.25">
      <c r="A2425" s="1071" t="s">
        <v>116</v>
      </c>
      <c r="B2425" s="1072"/>
      <c r="C2425" s="236" t="s">
        <v>117</v>
      </c>
      <c r="D2425" s="235" t="s">
        <v>136</v>
      </c>
      <c r="E2425" s="236" t="s">
        <v>124</v>
      </c>
      <c r="F2425" s="237" t="s">
        <v>126</v>
      </c>
      <c r="G2425" s="238" t="s">
        <v>134</v>
      </c>
    </row>
    <row r="2426" spans="1:7" s="1088" customFormat="1" ht="14.25" x14ac:dyDescent="0.2">
      <c r="A2426" s="209" t="s">
        <v>175</v>
      </c>
      <c r="B2426" s="286"/>
      <c r="C2426" s="287" t="s">
        <v>79</v>
      </c>
      <c r="D2426" s="261"/>
      <c r="E2426" s="276">
        <v>68000</v>
      </c>
      <c r="F2426" s="222">
        <f>1/20</f>
        <v>0.05</v>
      </c>
      <c r="G2426" s="224">
        <f>F2426*E2426</f>
        <v>3400</v>
      </c>
    </row>
    <row r="2427" spans="1:7" s="1088" customFormat="1" ht="14.25" x14ac:dyDescent="0.2">
      <c r="A2427" s="209"/>
      <c r="B2427" s="275"/>
      <c r="C2427" s="260"/>
      <c r="D2427" s="261"/>
      <c r="E2427" s="276"/>
      <c r="F2427" s="222"/>
      <c r="G2427" s="224"/>
    </row>
    <row r="2428" spans="1:7" s="1088" customFormat="1" ht="14.25" x14ac:dyDescent="0.2">
      <c r="A2428" s="209"/>
      <c r="B2428" s="259"/>
      <c r="C2428" s="260"/>
      <c r="D2428" s="261"/>
      <c r="E2428" s="276"/>
      <c r="F2428" s="222"/>
      <c r="G2428" s="224"/>
    </row>
    <row r="2429" spans="1:7" s="1088" customFormat="1" ht="14.25" x14ac:dyDescent="0.2">
      <c r="A2429" s="209"/>
      <c r="B2429" s="259"/>
      <c r="C2429" s="260"/>
      <c r="D2429" s="261"/>
      <c r="E2429" s="276"/>
      <c r="F2429" s="222"/>
      <c r="G2429" s="224"/>
    </row>
    <row r="2430" spans="1:7" s="1088" customFormat="1" ht="14.25" x14ac:dyDescent="0.2">
      <c r="A2430" s="209"/>
      <c r="B2430" s="245"/>
      <c r="C2430" s="265"/>
      <c r="D2430" s="246"/>
      <c r="E2430" s="265"/>
      <c r="F2430" s="266"/>
      <c r="G2430" s="267"/>
    </row>
    <row r="2431" spans="1:7" s="1088" customFormat="1" ht="14.25" x14ac:dyDescent="0.2">
      <c r="A2431" s="249"/>
      <c r="B2431" s="250"/>
      <c r="C2431" s="252"/>
      <c r="D2431" s="251"/>
      <c r="E2431" s="252"/>
      <c r="F2431" s="254"/>
      <c r="G2431" s="268"/>
    </row>
    <row r="2432" spans="1:7" s="1088" customFormat="1" ht="15" x14ac:dyDescent="0.25">
      <c r="A2432" s="209"/>
      <c r="B2432" s="212"/>
      <c r="C2432" s="211"/>
      <c r="D2432" s="212"/>
      <c r="E2432" s="269"/>
      <c r="F2432" s="269" t="s">
        <v>121</v>
      </c>
      <c r="G2432" s="270">
        <f>+SUM(G2426:G2431)</f>
        <v>3400</v>
      </c>
    </row>
    <row r="2433" spans="1:8" s="1088" customFormat="1" ht="14.25" x14ac:dyDescent="0.2">
      <c r="A2433" s="209"/>
      <c r="B2433" s="212"/>
      <c r="C2433" s="211"/>
      <c r="D2433" s="212"/>
      <c r="E2433" s="213"/>
      <c r="F2433" s="214"/>
      <c r="G2433" s="271"/>
    </row>
    <row r="2434" spans="1:8" s="1088" customFormat="1" ht="15" x14ac:dyDescent="0.25">
      <c r="A2434" s="277"/>
      <c r="B2434" s="278"/>
      <c r="C2434" s="278"/>
      <c r="D2434" s="278"/>
      <c r="E2434" s="279"/>
      <c r="F2434" s="280" t="s">
        <v>137</v>
      </c>
      <c r="G2434" s="283">
        <f>+ROUND(G2402+G2412+G2421+G2432,0)</f>
        <v>11894</v>
      </c>
    </row>
    <row r="2435" spans="1:8" s="1088" customFormat="1" ht="14.25" x14ac:dyDescent="0.2">
      <c r="A2435" s="209"/>
      <c r="B2435" s="212"/>
      <c r="C2435" s="212"/>
      <c r="D2435" s="212"/>
      <c r="E2435" s="211"/>
      <c r="F2435" s="211"/>
      <c r="G2435" s="211"/>
    </row>
    <row r="2436" spans="1:8" ht="15" x14ac:dyDescent="0.25">
      <c r="A2436" s="58"/>
      <c r="B2436" s="54"/>
      <c r="C2436" s="54"/>
      <c r="D2436" s="54"/>
      <c r="E2436" s="55"/>
      <c r="F2436" s="103"/>
      <c r="G2436" s="291"/>
      <c r="H2436" s="134"/>
    </row>
    <row r="2437" spans="1:8" s="1088" customFormat="1" ht="15" x14ac:dyDescent="0.25">
      <c r="A2437" s="145" t="s">
        <v>160</v>
      </c>
      <c r="B2437" s="1262" t="s">
        <v>161</v>
      </c>
      <c r="C2437" s="1263"/>
      <c r="D2437" s="1263"/>
      <c r="E2437" s="1263"/>
      <c r="F2437" s="1264"/>
      <c r="G2437" s="146" t="s">
        <v>2</v>
      </c>
    </row>
    <row r="2438" spans="1:8" s="1088" customFormat="1" ht="76.5" customHeight="1" x14ac:dyDescent="0.25">
      <c r="A2438" s="285">
        <f>'FORMATO PROPUESTA ECONÓMICA'!A74</f>
        <v>7.12</v>
      </c>
      <c r="B2438" s="1265" t="str">
        <f>'FORMATO PROPUESTA ECONÓMICA'!B74</f>
        <v>S.T.C. de Medidor para acometida de acueducto de 15 mm (1/2”), de diametro, chorro único, transmision mecanica, clase metrológica C. ó su equivalente en version 2007 de la norma (Qp: 2,5 m3/h), incluye  la instalación de las pitorras para la correcta conexión a la intradomiciliar  y niple</v>
      </c>
      <c r="C2438" s="1266"/>
      <c r="D2438" s="1266"/>
      <c r="E2438" s="1266"/>
      <c r="F2438" s="1267"/>
      <c r="G2438" s="187" t="str">
        <f>'FORMATO PROPUESTA ECONÓMICA'!C74</f>
        <v>und</v>
      </c>
    </row>
    <row r="2439" spans="1:8" s="1088" customFormat="1" ht="14.25" x14ac:dyDescent="0.2">
      <c r="A2439" s="209"/>
      <c r="B2439" s="210"/>
      <c r="C2439" s="211"/>
      <c r="D2439" s="212"/>
      <c r="E2439" s="213"/>
      <c r="F2439" s="214"/>
      <c r="G2439" s="215"/>
    </row>
    <row r="2440" spans="1:8" s="1088" customFormat="1" ht="15" x14ac:dyDescent="0.25">
      <c r="A2440" s="216" t="s">
        <v>115</v>
      </c>
      <c r="B2440" s="212"/>
      <c r="C2440" s="211"/>
      <c r="D2440" s="212"/>
      <c r="E2440" s="213"/>
      <c r="F2440" s="214"/>
      <c r="G2440" s="215"/>
    </row>
    <row r="2441" spans="1:8" s="1088" customFormat="1" ht="14.25" x14ac:dyDescent="0.2">
      <c r="A2441" s="209"/>
      <c r="B2441" s="212"/>
      <c r="C2441" s="211"/>
      <c r="D2441" s="212"/>
      <c r="E2441" s="213"/>
      <c r="F2441" s="214"/>
      <c r="G2441" s="215"/>
    </row>
    <row r="2442" spans="1:8" s="1088" customFormat="1" ht="15" customHeight="1" x14ac:dyDescent="0.25">
      <c r="A2442" s="1075" t="s">
        <v>116</v>
      </c>
      <c r="B2442" s="1076"/>
      <c r="C2442" s="217" t="s">
        <v>117</v>
      </c>
      <c r="D2442" s="1075" t="s">
        <v>118</v>
      </c>
      <c r="E2442" s="218" t="s">
        <v>39</v>
      </c>
      <c r="F2442" s="237" t="s">
        <v>126</v>
      </c>
      <c r="G2442" s="219" t="s">
        <v>120</v>
      </c>
    </row>
    <row r="2443" spans="1:8" s="1088" customFormat="1" ht="14.25" x14ac:dyDescent="0.2">
      <c r="A2443" s="209"/>
      <c r="B2443" s="286"/>
      <c r="C2443" s="220"/>
      <c r="D2443" s="261"/>
      <c r="E2443" s="276"/>
      <c r="F2443" s="222"/>
      <c r="G2443" s="224"/>
    </row>
    <row r="2444" spans="1:8" s="1088" customFormat="1" ht="14.25" x14ac:dyDescent="0.2">
      <c r="A2444" s="1256" t="s">
        <v>353</v>
      </c>
      <c r="B2444" s="1257"/>
      <c r="C2444" s="225"/>
      <c r="D2444" s="221">
        <f>105000*1.16</f>
        <v>121799.99999999999</v>
      </c>
      <c r="E2444" s="226">
        <v>1</v>
      </c>
      <c r="F2444" s="227"/>
      <c r="G2444" s="228">
        <f>D2444*E2444</f>
        <v>121799.99999999999</v>
      </c>
    </row>
    <row r="2445" spans="1:8" s="1088" customFormat="1" ht="14.25" x14ac:dyDescent="0.2">
      <c r="A2445" s="1060"/>
      <c r="B2445" s="1068"/>
      <c r="C2445" s="229"/>
      <c r="D2445" s="221"/>
      <c r="E2445" s="226"/>
      <c r="F2445" s="227"/>
      <c r="G2445" s="228">
        <f>D2445*E2445</f>
        <v>0</v>
      </c>
    </row>
    <row r="2446" spans="1:8" s="1088" customFormat="1" ht="14.25" x14ac:dyDescent="0.2">
      <c r="A2446" s="1060"/>
      <c r="B2446" s="1068"/>
      <c r="C2446" s="225"/>
      <c r="D2446" s="221"/>
      <c r="E2446" s="226"/>
      <c r="F2446" s="227"/>
      <c r="G2446" s="228">
        <f>D2446*E2446</f>
        <v>0</v>
      </c>
    </row>
    <row r="2447" spans="1:8" s="1088" customFormat="1" ht="14.25" x14ac:dyDescent="0.2">
      <c r="A2447" s="1069"/>
      <c r="B2447" s="1070"/>
      <c r="C2447" s="230"/>
      <c r="D2447" s="231"/>
      <c r="E2447" s="232"/>
      <c r="F2447" s="233"/>
      <c r="G2447" s="228">
        <f>D2447*E2447</f>
        <v>0</v>
      </c>
    </row>
    <row r="2448" spans="1:8" s="1088" customFormat="1" ht="15" x14ac:dyDescent="0.25">
      <c r="A2448" s="1073"/>
      <c r="B2448" s="210"/>
      <c r="C2448" s="211"/>
      <c r="D2448" s="212"/>
      <c r="E2448" s="212"/>
      <c r="F2448" s="234" t="s">
        <v>121</v>
      </c>
      <c r="G2448" s="231">
        <f>+SUM(G2443:G2447)</f>
        <v>121799.99999999999</v>
      </c>
    </row>
    <row r="2449" spans="1:7" s="1088" customFormat="1" ht="14.25" x14ac:dyDescent="0.2">
      <c r="A2449" s="209"/>
      <c r="B2449" s="212"/>
      <c r="C2449" s="211" t="s">
        <v>123</v>
      </c>
      <c r="D2449" s="212"/>
      <c r="E2449" s="213"/>
      <c r="F2449" s="214"/>
      <c r="G2449" s="215"/>
    </row>
    <row r="2450" spans="1:7" s="1088" customFormat="1" ht="15" x14ac:dyDescent="0.25">
      <c r="A2450" s="216" t="s">
        <v>122</v>
      </c>
      <c r="B2450" s="212"/>
      <c r="C2450" s="211" t="s">
        <v>123</v>
      </c>
      <c r="D2450" s="212"/>
      <c r="E2450" s="213"/>
      <c r="F2450" s="214"/>
      <c r="G2450" s="215"/>
    </row>
    <row r="2451" spans="1:7" s="1088" customFormat="1" ht="14.25" x14ac:dyDescent="0.2">
      <c r="A2451" s="209"/>
      <c r="B2451" s="212"/>
      <c r="C2451" s="211"/>
      <c r="D2451" s="212"/>
      <c r="E2451" s="213"/>
      <c r="F2451" s="214"/>
      <c r="G2451" s="215"/>
    </row>
    <row r="2452" spans="1:7" s="1088" customFormat="1" ht="15" x14ac:dyDescent="0.25">
      <c r="A2452" s="1071" t="s">
        <v>116</v>
      </c>
      <c r="B2452" s="1072"/>
      <c r="C2452" s="235" t="s">
        <v>117</v>
      </c>
      <c r="D2452" s="236" t="s">
        <v>124</v>
      </c>
      <c r="E2452" s="236" t="s">
        <v>125</v>
      </c>
      <c r="F2452" s="237" t="s">
        <v>126</v>
      </c>
      <c r="G2452" s="238" t="s">
        <v>120</v>
      </c>
    </row>
    <row r="2453" spans="1:7" s="1088" customFormat="1" ht="28.5" x14ac:dyDescent="0.2">
      <c r="A2453" s="1066" t="s">
        <v>127</v>
      </c>
      <c r="B2453" s="1067"/>
      <c r="C2453" s="239" t="s">
        <v>128</v>
      </c>
      <c r="D2453" s="240"/>
      <c r="E2453" s="241"/>
      <c r="F2453" s="222"/>
      <c r="G2453" s="242">
        <f>G2467*0.05</f>
        <v>252.7998</v>
      </c>
    </row>
    <row r="2454" spans="1:7" s="1088" customFormat="1" ht="14.25" x14ac:dyDescent="0.2">
      <c r="A2454" s="1256"/>
      <c r="B2454" s="1257"/>
      <c r="C2454" s="220"/>
      <c r="D2454" s="261"/>
      <c r="E2454" s="289"/>
      <c r="F2454" s="290"/>
      <c r="G2454" s="242">
        <f>D2454*F2454</f>
        <v>0</v>
      </c>
    </row>
    <row r="2455" spans="1:7" s="1088" customFormat="1" ht="14.25" x14ac:dyDescent="0.2">
      <c r="A2455" s="1073"/>
      <c r="B2455" s="1074"/>
      <c r="C2455" s="243"/>
      <c r="D2455" s="221"/>
      <c r="E2455" s="244"/>
      <c r="F2455" s="222"/>
      <c r="G2455" s="224"/>
    </row>
    <row r="2456" spans="1:7" s="1088" customFormat="1" ht="14.25" x14ac:dyDescent="0.2">
      <c r="A2456" s="209"/>
      <c r="B2456" s="245"/>
      <c r="C2456" s="246"/>
      <c r="D2456" s="221"/>
      <c r="E2456" s="247"/>
      <c r="F2456" s="222"/>
      <c r="G2456" s="248"/>
    </row>
    <row r="2457" spans="1:7" s="1088" customFormat="1" ht="14.25" x14ac:dyDescent="0.2">
      <c r="A2457" s="249"/>
      <c r="B2457" s="250"/>
      <c r="C2457" s="251"/>
      <c r="D2457" s="252"/>
      <c r="E2457" s="253"/>
      <c r="F2457" s="254"/>
      <c r="G2457" s="255"/>
    </row>
    <row r="2458" spans="1:7" s="1088" customFormat="1" ht="14.25" customHeight="1" x14ac:dyDescent="0.25">
      <c r="A2458" s="209"/>
      <c r="B2458" s="214"/>
      <c r="C2458" s="256"/>
      <c r="D2458" s="214"/>
      <c r="E2458" s="212"/>
      <c r="F2458" s="257" t="s">
        <v>121</v>
      </c>
      <c r="G2458" s="258">
        <f>+SUM(G2453:G2457)</f>
        <v>252.7998</v>
      </c>
    </row>
    <row r="2459" spans="1:7" s="1088" customFormat="1" ht="14.25" x14ac:dyDescent="0.2">
      <c r="A2459" s="209"/>
      <c r="B2459" s="212"/>
      <c r="C2459" s="211"/>
      <c r="D2459" s="212"/>
      <c r="E2459" s="213"/>
      <c r="F2459" s="212"/>
      <c r="G2459" s="215"/>
    </row>
    <row r="2460" spans="1:7" s="1088" customFormat="1" ht="15" x14ac:dyDescent="0.25">
      <c r="A2460" s="216" t="s">
        <v>130</v>
      </c>
      <c r="B2460" s="212"/>
      <c r="C2460" s="211"/>
      <c r="D2460" s="212"/>
      <c r="E2460" s="213"/>
      <c r="F2460" s="214"/>
      <c r="G2460" s="215"/>
    </row>
    <row r="2461" spans="1:7" s="1088" customFormat="1" ht="14.25" x14ac:dyDescent="0.2">
      <c r="A2461" s="209"/>
      <c r="B2461" s="212"/>
      <c r="C2461" s="211"/>
      <c r="D2461" s="212"/>
      <c r="E2461" s="213"/>
      <c r="F2461" s="214"/>
      <c r="G2461" s="215"/>
    </row>
    <row r="2462" spans="1:7" s="1088" customFormat="1" ht="15" x14ac:dyDescent="0.25">
      <c r="A2462" s="1071" t="s">
        <v>116</v>
      </c>
      <c r="B2462" s="1072"/>
      <c r="C2462" s="236" t="s">
        <v>131</v>
      </c>
      <c r="D2462" s="235" t="s">
        <v>132</v>
      </c>
      <c r="E2462" s="236" t="s">
        <v>133</v>
      </c>
      <c r="F2462" s="237" t="s">
        <v>126</v>
      </c>
      <c r="G2462" s="238" t="s">
        <v>134</v>
      </c>
    </row>
    <row r="2463" spans="1:7" s="1088" customFormat="1" ht="14.25" x14ac:dyDescent="0.2">
      <c r="A2463" s="209" t="s">
        <v>10</v>
      </c>
      <c r="B2463" s="259"/>
      <c r="C2463" s="260">
        <f>M2</f>
        <v>22981.8</v>
      </c>
      <c r="D2463" s="261">
        <f>N2</f>
        <v>1.76</v>
      </c>
      <c r="E2463" s="276">
        <f>C2463*D2463</f>
        <v>40447.968000000001</v>
      </c>
      <c r="F2463" s="222">
        <f>1/8</f>
        <v>0.125</v>
      </c>
      <c r="G2463" s="224">
        <f>F2463*E2463</f>
        <v>5055.9960000000001</v>
      </c>
    </row>
    <row r="2464" spans="1:7" s="1088" customFormat="1" ht="14.25" x14ac:dyDescent="0.2">
      <c r="A2464" s="209"/>
      <c r="B2464" s="259"/>
      <c r="C2464" s="260"/>
      <c r="D2464" s="261"/>
      <c r="E2464" s="276"/>
      <c r="F2464" s="222"/>
      <c r="G2464" s="224">
        <f>F2464*E2464</f>
        <v>0</v>
      </c>
    </row>
    <row r="2465" spans="1:7" s="1088" customFormat="1" ht="14.25" x14ac:dyDescent="0.2">
      <c r="A2465" s="209"/>
      <c r="B2465" s="245"/>
      <c r="C2465" s="265"/>
      <c r="D2465" s="246"/>
      <c r="E2465" s="265"/>
      <c r="F2465" s="266"/>
      <c r="G2465" s="267"/>
    </row>
    <row r="2466" spans="1:7" s="1088" customFormat="1" ht="14.25" x14ac:dyDescent="0.2">
      <c r="A2466" s="249"/>
      <c r="B2466" s="250"/>
      <c r="C2466" s="252"/>
      <c r="D2466" s="251"/>
      <c r="E2466" s="252"/>
      <c r="F2466" s="254"/>
      <c r="G2466" s="268"/>
    </row>
    <row r="2467" spans="1:7" s="1088" customFormat="1" ht="15" x14ac:dyDescent="0.25">
      <c r="A2467" s="209"/>
      <c r="B2467" s="212"/>
      <c r="C2467" s="211"/>
      <c r="D2467" s="212"/>
      <c r="E2467" s="269"/>
      <c r="F2467" s="269" t="s">
        <v>121</v>
      </c>
      <c r="G2467" s="270">
        <f>+SUM(G2463:G2466)</f>
        <v>5055.9960000000001</v>
      </c>
    </row>
    <row r="2468" spans="1:7" s="1088" customFormat="1" ht="15" x14ac:dyDescent="0.25">
      <c r="A2468" s="209"/>
      <c r="B2468" s="212"/>
      <c r="C2468" s="211"/>
      <c r="D2468" s="212"/>
      <c r="E2468" s="257"/>
      <c r="F2468" s="257"/>
      <c r="G2468" s="271"/>
    </row>
    <row r="2469" spans="1:7" s="1088" customFormat="1" ht="15" x14ac:dyDescent="0.25">
      <c r="A2469" s="216" t="s">
        <v>135</v>
      </c>
      <c r="B2469" s="212"/>
      <c r="C2469" s="211"/>
      <c r="D2469" s="212"/>
      <c r="E2469" s="213"/>
      <c r="F2469" s="214"/>
      <c r="G2469" s="215"/>
    </row>
    <row r="2470" spans="1:7" s="1088" customFormat="1" ht="14.25" x14ac:dyDescent="0.2">
      <c r="A2470" s="209"/>
      <c r="B2470" s="212"/>
      <c r="C2470" s="211"/>
      <c r="D2470" s="212"/>
      <c r="E2470" s="213"/>
      <c r="F2470" s="214"/>
      <c r="G2470" s="215"/>
    </row>
    <row r="2471" spans="1:7" s="1088" customFormat="1" ht="15" x14ac:dyDescent="0.25">
      <c r="A2471" s="1071" t="s">
        <v>116</v>
      </c>
      <c r="B2471" s="1072"/>
      <c r="C2471" s="236" t="s">
        <v>117</v>
      </c>
      <c r="D2471" s="235" t="s">
        <v>136</v>
      </c>
      <c r="E2471" s="236" t="s">
        <v>124</v>
      </c>
      <c r="F2471" s="237" t="s">
        <v>126</v>
      </c>
      <c r="G2471" s="238" t="s">
        <v>134</v>
      </c>
    </row>
    <row r="2472" spans="1:7" s="1088" customFormat="1" ht="14.25" x14ac:dyDescent="0.2">
      <c r="A2472" s="209" t="s">
        <v>175</v>
      </c>
      <c r="B2472" s="286"/>
      <c r="C2472" s="287" t="s">
        <v>79</v>
      </c>
      <c r="D2472" s="261"/>
      <c r="E2472" s="276">
        <v>68000</v>
      </c>
      <c r="F2472" s="222">
        <f>1/15</f>
        <v>6.6666666666666666E-2</v>
      </c>
      <c r="G2472" s="224">
        <f>F2472*E2472</f>
        <v>4533.333333333333</v>
      </c>
    </row>
    <row r="2473" spans="1:7" s="1088" customFormat="1" ht="14.25" x14ac:dyDescent="0.2">
      <c r="A2473" s="209"/>
      <c r="B2473" s="275"/>
      <c r="C2473" s="260"/>
      <c r="D2473" s="261"/>
      <c r="E2473" s="276"/>
      <c r="F2473" s="222"/>
      <c r="G2473" s="224"/>
    </row>
    <row r="2474" spans="1:7" s="1088" customFormat="1" ht="14.25" x14ac:dyDescent="0.2">
      <c r="A2474" s="209"/>
      <c r="B2474" s="259"/>
      <c r="C2474" s="260"/>
      <c r="D2474" s="261"/>
      <c r="E2474" s="276"/>
      <c r="F2474" s="222"/>
      <c r="G2474" s="224"/>
    </row>
    <row r="2475" spans="1:7" s="1088" customFormat="1" ht="14.25" x14ac:dyDescent="0.2">
      <c r="A2475" s="209"/>
      <c r="B2475" s="259"/>
      <c r="C2475" s="260"/>
      <c r="D2475" s="261"/>
      <c r="E2475" s="276"/>
      <c r="F2475" s="222"/>
      <c r="G2475" s="224"/>
    </row>
    <row r="2476" spans="1:7" s="1088" customFormat="1" ht="14.25" x14ac:dyDescent="0.2">
      <c r="A2476" s="209"/>
      <c r="B2476" s="245"/>
      <c r="C2476" s="265"/>
      <c r="D2476" s="246"/>
      <c r="E2476" s="265"/>
      <c r="F2476" s="266"/>
      <c r="G2476" s="267"/>
    </row>
    <row r="2477" spans="1:7" s="1088" customFormat="1" ht="14.25" x14ac:dyDescent="0.2">
      <c r="A2477" s="249"/>
      <c r="B2477" s="250"/>
      <c r="C2477" s="252"/>
      <c r="D2477" s="251"/>
      <c r="E2477" s="252"/>
      <c r="F2477" s="254"/>
      <c r="G2477" s="268"/>
    </row>
    <row r="2478" spans="1:7" s="1088" customFormat="1" ht="15" x14ac:dyDescent="0.25">
      <c r="A2478" s="209"/>
      <c r="B2478" s="212"/>
      <c r="C2478" s="211"/>
      <c r="D2478" s="212"/>
      <c r="E2478" s="269"/>
      <c r="F2478" s="269" t="s">
        <v>121</v>
      </c>
      <c r="G2478" s="270">
        <f>+SUM(G2472:G2477)</f>
        <v>4533.333333333333</v>
      </c>
    </row>
    <row r="2479" spans="1:7" s="1088" customFormat="1" ht="14.25" x14ac:dyDescent="0.2">
      <c r="A2479" s="209"/>
      <c r="B2479" s="212"/>
      <c r="C2479" s="211"/>
      <c r="D2479" s="212"/>
      <c r="E2479" s="213"/>
      <c r="F2479" s="214"/>
      <c r="G2479" s="271"/>
    </row>
    <row r="2480" spans="1:7" s="1088" customFormat="1" ht="15" x14ac:dyDescent="0.25">
      <c r="A2480" s="277"/>
      <c r="B2480" s="278"/>
      <c r="C2480" s="278"/>
      <c r="D2480" s="278"/>
      <c r="E2480" s="279"/>
      <c r="F2480" s="280" t="s">
        <v>137</v>
      </c>
      <c r="G2480" s="283">
        <f>+ROUND(G2448+G2458+G2467+G2478,0)</f>
        <v>131642</v>
      </c>
    </row>
    <row r="2481" spans="1:8" ht="15" x14ac:dyDescent="0.25">
      <c r="A2481" s="58"/>
      <c r="B2481" s="54"/>
      <c r="C2481" s="54"/>
      <c r="D2481" s="54"/>
      <c r="E2481" s="55"/>
      <c r="F2481" s="103"/>
      <c r="G2481" s="291"/>
      <c r="H2481" s="134"/>
    </row>
    <row r="2482" spans="1:8" s="1088" customFormat="1" ht="15" x14ac:dyDescent="0.25">
      <c r="A2482" s="145" t="s">
        <v>160</v>
      </c>
      <c r="B2482" s="1262" t="s">
        <v>161</v>
      </c>
      <c r="C2482" s="1263"/>
      <c r="D2482" s="1263"/>
      <c r="E2482" s="1263"/>
      <c r="F2482" s="1264"/>
      <c r="G2482" s="146" t="s">
        <v>2</v>
      </c>
    </row>
    <row r="2483" spans="1:8" s="1088" customFormat="1" ht="15" x14ac:dyDescent="0.25">
      <c r="A2483" s="285">
        <f>'FORMATO PROPUESTA ECONÓMICA'!A75</f>
        <v>7.13</v>
      </c>
      <c r="B2483" s="1265" t="str">
        <f>'FORMATO PROPUESTA ECONÓMICA'!B75</f>
        <v>Registro contención pvc 1/2" liso</v>
      </c>
      <c r="C2483" s="1266"/>
      <c r="D2483" s="1266"/>
      <c r="E2483" s="1266"/>
      <c r="F2483" s="1267"/>
      <c r="G2483" s="187" t="str">
        <f>'FORMATO PROPUESTA ECONÓMICA'!C75</f>
        <v>und</v>
      </c>
    </row>
    <row r="2484" spans="1:8" s="1088" customFormat="1" ht="14.25" x14ac:dyDescent="0.2">
      <c r="A2484" s="209"/>
      <c r="B2484" s="210"/>
      <c r="C2484" s="211"/>
      <c r="D2484" s="212"/>
      <c r="E2484" s="213"/>
      <c r="F2484" s="214"/>
      <c r="G2484" s="215"/>
    </row>
    <row r="2485" spans="1:8" s="1088" customFormat="1" ht="15" x14ac:dyDescent="0.25">
      <c r="A2485" s="216" t="s">
        <v>115</v>
      </c>
      <c r="B2485" s="212"/>
      <c r="C2485" s="211"/>
      <c r="D2485" s="212"/>
      <c r="E2485" s="213"/>
      <c r="F2485" s="214"/>
      <c r="G2485" s="215"/>
    </row>
    <row r="2486" spans="1:8" s="1088" customFormat="1" ht="14.25" x14ac:dyDescent="0.2">
      <c r="A2486" s="209"/>
      <c r="B2486" s="212"/>
      <c r="C2486" s="211"/>
      <c r="D2486" s="212"/>
      <c r="E2486" s="213"/>
      <c r="F2486" s="214"/>
      <c r="G2486" s="215"/>
    </row>
    <row r="2487" spans="1:8" s="1088" customFormat="1" ht="15" customHeight="1" x14ac:dyDescent="0.25">
      <c r="A2487" s="1075" t="s">
        <v>116</v>
      </c>
      <c r="B2487" s="1076"/>
      <c r="C2487" s="217" t="s">
        <v>117</v>
      </c>
      <c r="D2487" s="1075" t="s">
        <v>118</v>
      </c>
      <c r="E2487" s="218" t="s">
        <v>39</v>
      </c>
      <c r="F2487" s="237" t="s">
        <v>126</v>
      </c>
      <c r="G2487" s="219" t="s">
        <v>120</v>
      </c>
    </row>
    <row r="2488" spans="1:8" s="1088" customFormat="1" ht="14.25" x14ac:dyDescent="0.2">
      <c r="A2488" s="209"/>
      <c r="B2488" s="286"/>
      <c r="C2488" s="220"/>
      <c r="D2488" s="261"/>
      <c r="E2488" s="276"/>
      <c r="F2488" s="222"/>
      <c r="G2488" s="224"/>
    </row>
    <row r="2489" spans="1:8" s="1088" customFormat="1" ht="14.25" x14ac:dyDescent="0.2">
      <c r="A2489" s="1060"/>
      <c r="B2489" s="1068"/>
      <c r="C2489" s="225"/>
      <c r="D2489" s="221"/>
      <c r="E2489" s="226"/>
      <c r="F2489" s="227"/>
      <c r="G2489" s="228">
        <f>D2489*E2489</f>
        <v>0</v>
      </c>
    </row>
    <row r="2490" spans="1:8" s="1088" customFormat="1" ht="14.25" x14ac:dyDescent="0.2">
      <c r="A2490" s="1060"/>
      <c r="B2490" s="1068"/>
      <c r="C2490" s="229"/>
      <c r="D2490" s="221"/>
      <c r="E2490" s="226"/>
      <c r="F2490" s="227"/>
      <c r="G2490" s="228">
        <f>D2490*E2490</f>
        <v>0</v>
      </c>
    </row>
    <row r="2491" spans="1:8" s="1088" customFormat="1" ht="14.25" x14ac:dyDescent="0.2">
      <c r="A2491" s="1060"/>
      <c r="B2491" s="1068"/>
      <c r="C2491" s="225"/>
      <c r="D2491" s="221"/>
      <c r="E2491" s="226"/>
      <c r="F2491" s="227"/>
      <c r="G2491" s="228">
        <f>D2491*E2491</f>
        <v>0</v>
      </c>
    </row>
    <row r="2492" spans="1:8" s="1088" customFormat="1" ht="14.25" x14ac:dyDescent="0.2">
      <c r="A2492" s="1069"/>
      <c r="B2492" s="1070"/>
      <c r="C2492" s="230"/>
      <c r="D2492" s="231"/>
      <c r="E2492" s="232"/>
      <c r="F2492" s="233"/>
      <c r="G2492" s="228">
        <f>D2492*E2492</f>
        <v>0</v>
      </c>
    </row>
    <row r="2493" spans="1:8" s="1088" customFormat="1" ht="15" x14ac:dyDescent="0.25">
      <c r="A2493" s="1073"/>
      <c r="B2493" s="210"/>
      <c r="C2493" s="211"/>
      <c r="D2493" s="212"/>
      <c r="E2493" s="212"/>
      <c r="F2493" s="234" t="s">
        <v>121</v>
      </c>
      <c r="G2493" s="231">
        <f>+SUM(G2488:G2492)</f>
        <v>0</v>
      </c>
    </row>
    <row r="2494" spans="1:8" s="1088" customFormat="1" ht="14.25" x14ac:dyDescent="0.2">
      <c r="A2494" s="209"/>
      <c r="B2494" s="212"/>
      <c r="C2494" s="211" t="s">
        <v>123</v>
      </c>
      <c r="D2494" s="212"/>
      <c r="E2494" s="213"/>
      <c r="F2494" s="214"/>
      <c r="G2494" s="215"/>
    </row>
    <row r="2495" spans="1:8" s="1088" customFormat="1" ht="15" x14ac:dyDescent="0.25">
      <c r="A2495" s="216" t="s">
        <v>122</v>
      </c>
      <c r="B2495" s="212"/>
      <c r="C2495" s="211" t="s">
        <v>123</v>
      </c>
      <c r="D2495" s="212"/>
      <c r="E2495" s="213"/>
      <c r="F2495" s="214"/>
      <c r="G2495" s="215"/>
    </row>
    <row r="2496" spans="1:8" s="1088" customFormat="1" ht="14.25" x14ac:dyDescent="0.2">
      <c r="A2496" s="209"/>
      <c r="B2496" s="212"/>
      <c r="C2496" s="211"/>
      <c r="D2496" s="212"/>
      <c r="E2496" s="213"/>
      <c r="F2496" s="214"/>
      <c r="G2496" s="215"/>
    </row>
    <row r="2497" spans="1:7" s="1088" customFormat="1" ht="15" x14ac:dyDescent="0.25">
      <c r="A2497" s="1071" t="s">
        <v>116</v>
      </c>
      <c r="B2497" s="1072"/>
      <c r="C2497" s="235" t="s">
        <v>117</v>
      </c>
      <c r="D2497" s="236" t="s">
        <v>124</v>
      </c>
      <c r="E2497" s="236" t="s">
        <v>125</v>
      </c>
      <c r="F2497" s="237" t="s">
        <v>126</v>
      </c>
      <c r="G2497" s="238" t="s">
        <v>120</v>
      </c>
    </row>
    <row r="2498" spans="1:7" s="1088" customFormat="1" ht="28.5" x14ac:dyDescent="0.2">
      <c r="A2498" s="1066" t="s">
        <v>127</v>
      </c>
      <c r="B2498" s="1067"/>
      <c r="C2498" s="239" t="s">
        <v>128</v>
      </c>
      <c r="D2498" s="240"/>
      <c r="E2498" s="241"/>
      <c r="F2498" s="222"/>
      <c r="G2498" s="242">
        <f>G2512*0.05</f>
        <v>134.82656</v>
      </c>
    </row>
    <row r="2499" spans="1:7" s="1088" customFormat="1" ht="14.25" x14ac:dyDescent="0.2">
      <c r="A2499" s="1256" t="str">
        <f>B2483</f>
        <v>Registro contención pvc 1/2" liso</v>
      </c>
      <c r="B2499" s="1257"/>
      <c r="C2499" s="220"/>
      <c r="D2499" s="261"/>
      <c r="E2499" s="289">
        <v>1</v>
      </c>
      <c r="F2499" s="290">
        <v>1</v>
      </c>
      <c r="G2499" s="242">
        <f>D2499*F2499</f>
        <v>0</v>
      </c>
    </row>
    <row r="2500" spans="1:7" s="1088" customFormat="1" ht="14.25" x14ac:dyDescent="0.2">
      <c r="A2500" s="1073"/>
      <c r="B2500" s="1074"/>
      <c r="C2500" s="243"/>
      <c r="D2500" s="221"/>
      <c r="E2500" s="244"/>
      <c r="F2500" s="222"/>
      <c r="G2500" s="224"/>
    </row>
    <row r="2501" spans="1:7" s="1088" customFormat="1" ht="14.25" x14ac:dyDescent="0.2">
      <c r="A2501" s="209"/>
      <c r="B2501" s="245"/>
      <c r="C2501" s="246"/>
      <c r="D2501" s="221"/>
      <c r="E2501" s="247"/>
      <c r="F2501" s="222"/>
      <c r="G2501" s="248"/>
    </row>
    <row r="2502" spans="1:7" s="1088" customFormat="1" ht="14.25" x14ac:dyDescent="0.2">
      <c r="A2502" s="249"/>
      <c r="B2502" s="250"/>
      <c r="C2502" s="251"/>
      <c r="D2502" s="252"/>
      <c r="E2502" s="253"/>
      <c r="F2502" s="254"/>
      <c r="G2502" s="255"/>
    </row>
    <row r="2503" spans="1:7" s="1088" customFormat="1" ht="14.25" customHeight="1" x14ac:dyDescent="0.25">
      <c r="A2503" s="209"/>
      <c r="B2503" s="214"/>
      <c r="C2503" s="256"/>
      <c r="D2503" s="214"/>
      <c r="E2503" s="212"/>
      <c r="F2503" s="257" t="s">
        <v>121</v>
      </c>
      <c r="G2503" s="258">
        <f>+SUM(G2498:G2502)</f>
        <v>134.82656</v>
      </c>
    </row>
    <row r="2504" spans="1:7" s="1088" customFormat="1" ht="14.25" x14ac:dyDescent="0.2">
      <c r="A2504" s="209"/>
      <c r="B2504" s="212"/>
      <c r="C2504" s="211"/>
      <c r="D2504" s="212"/>
      <c r="E2504" s="213"/>
      <c r="F2504" s="212"/>
      <c r="G2504" s="215"/>
    </row>
    <row r="2505" spans="1:7" s="1088" customFormat="1" ht="15" x14ac:dyDescent="0.25">
      <c r="A2505" s="216" t="s">
        <v>130</v>
      </c>
      <c r="B2505" s="212"/>
      <c r="C2505" s="211"/>
      <c r="D2505" s="212"/>
      <c r="E2505" s="213"/>
      <c r="F2505" s="214"/>
      <c r="G2505" s="215"/>
    </row>
    <row r="2506" spans="1:7" s="1088" customFormat="1" ht="14.25" x14ac:dyDescent="0.2">
      <c r="A2506" s="209"/>
      <c r="B2506" s="212"/>
      <c r="C2506" s="211"/>
      <c r="D2506" s="212"/>
      <c r="E2506" s="213"/>
      <c r="F2506" s="214"/>
      <c r="G2506" s="215"/>
    </row>
    <row r="2507" spans="1:7" s="1088" customFormat="1" ht="15" x14ac:dyDescent="0.25">
      <c r="A2507" s="1071" t="s">
        <v>116</v>
      </c>
      <c r="B2507" s="1072"/>
      <c r="C2507" s="236" t="s">
        <v>131</v>
      </c>
      <c r="D2507" s="235" t="s">
        <v>132</v>
      </c>
      <c r="E2507" s="236" t="s">
        <v>133</v>
      </c>
      <c r="F2507" s="237" t="s">
        <v>126</v>
      </c>
      <c r="G2507" s="238" t="s">
        <v>134</v>
      </c>
    </row>
    <row r="2508" spans="1:7" s="1088" customFormat="1" ht="14.25" x14ac:dyDescent="0.2">
      <c r="A2508" s="209" t="s">
        <v>10</v>
      </c>
      <c r="B2508" s="259"/>
      <c r="C2508" s="260">
        <f>M2</f>
        <v>22981.8</v>
      </c>
      <c r="D2508" s="261">
        <f>N2</f>
        <v>1.76</v>
      </c>
      <c r="E2508" s="276">
        <f>C2508*D2508</f>
        <v>40447.968000000001</v>
      </c>
      <c r="F2508" s="222">
        <f>1/15</f>
        <v>6.6666666666666666E-2</v>
      </c>
      <c r="G2508" s="224">
        <f>F2508*E2508</f>
        <v>2696.5311999999999</v>
      </c>
    </row>
    <row r="2509" spans="1:7" s="1088" customFormat="1" ht="14.25" x14ac:dyDescent="0.2">
      <c r="A2509" s="209"/>
      <c r="B2509" s="259"/>
      <c r="C2509" s="260"/>
      <c r="D2509" s="261"/>
      <c r="E2509" s="276"/>
      <c r="F2509" s="222"/>
      <c r="G2509" s="224">
        <f>F2509*E2509</f>
        <v>0</v>
      </c>
    </row>
    <row r="2510" spans="1:7" s="1088" customFormat="1" ht="14.25" x14ac:dyDescent="0.2">
      <c r="A2510" s="209"/>
      <c r="B2510" s="245"/>
      <c r="C2510" s="265"/>
      <c r="D2510" s="246"/>
      <c r="E2510" s="265"/>
      <c r="F2510" s="266"/>
      <c r="G2510" s="267"/>
    </row>
    <row r="2511" spans="1:7" s="1088" customFormat="1" ht="14.25" x14ac:dyDescent="0.2">
      <c r="A2511" s="249"/>
      <c r="B2511" s="250"/>
      <c r="C2511" s="252"/>
      <c r="D2511" s="251"/>
      <c r="E2511" s="252"/>
      <c r="F2511" s="254"/>
      <c r="G2511" s="268"/>
    </row>
    <row r="2512" spans="1:7" s="1088" customFormat="1" ht="15" x14ac:dyDescent="0.25">
      <c r="A2512" s="209"/>
      <c r="B2512" s="212"/>
      <c r="C2512" s="211"/>
      <c r="D2512" s="212"/>
      <c r="E2512" s="269"/>
      <c r="F2512" s="269" t="s">
        <v>121</v>
      </c>
      <c r="G2512" s="270">
        <f>+SUM(G2508:G2511)</f>
        <v>2696.5311999999999</v>
      </c>
    </row>
    <row r="2513" spans="1:8" s="1088" customFormat="1" ht="15" x14ac:dyDescent="0.25">
      <c r="A2513" s="209"/>
      <c r="B2513" s="212"/>
      <c r="C2513" s="211"/>
      <c r="D2513" s="212"/>
      <c r="E2513" s="257"/>
      <c r="F2513" s="257"/>
      <c r="G2513" s="271"/>
    </row>
    <row r="2514" spans="1:8" s="1088" customFormat="1" ht="15" x14ac:dyDescent="0.25">
      <c r="A2514" s="216" t="s">
        <v>135</v>
      </c>
      <c r="B2514" s="212"/>
      <c r="C2514" s="211"/>
      <c r="D2514" s="212"/>
      <c r="E2514" s="213"/>
      <c r="F2514" s="214"/>
      <c r="G2514" s="215"/>
    </row>
    <row r="2515" spans="1:8" s="1088" customFormat="1" ht="14.25" x14ac:dyDescent="0.2">
      <c r="A2515" s="209"/>
      <c r="B2515" s="212"/>
      <c r="C2515" s="211"/>
      <c r="D2515" s="212"/>
      <c r="E2515" s="213"/>
      <c r="F2515" s="214"/>
      <c r="G2515" s="215"/>
    </row>
    <row r="2516" spans="1:8" s="1088" customFormat="1" ht="15" x14ac:dyDescent="0.25">
      <c r="A2516" s="1071" t="s">
        <v>116</v>
      </c>
      <c r="B2516" s="1072"/>
      <c r="C2516" s="236" t="s">
        <v>117</v>
      </c>
      <c r="D2516" s="235" t="s">
        <v>136</v>
      </c>
      <c r="E2516" s="236" t="s">
        <v>124</v>
      </c>
      <c r="F2516" s="237" t="s">
        <v>126</v>
      </c>
      <c r="G2516" s="238" t="s">
        <v>134</v>
      </c>
    </row>
    <row r="2517" spans="1:8" s="1088" customFormat="1" ht="14.25" x14ac:dyDescent="0.2">
      <c r="A2517" s="209" t="s">
        <v>175</v>
      </c>
      <c r="B2517" s="286"/>
      <c r="C2517" s="287" t="s">
        <v>79</v>
      </c>
      <c r="D2517" s="261"/>
      <c r="E2517" s="276">
        <v>68000</v>
      </c>
      <c r="F2517" s="222">
        <f>1/15</f>
        <v>6.6666666666666666E-2</v>
      </c>
      <c r="G2517" s="224">
        <f>F2517*E2517</f>
        <v>4533.333333333333</v>
      </c>
    </row>
    <row r="2518" spans="1:8" s="1088" customFormat="1" ht="14.25" x14ac:dyDescent="0.2">
      <c r="A2518" s="209"/>
      <c r="B2518" s="275"/>
      <c r="C2518" s="260"/>
      <c r="D2518" s="261"/>
      <c r="E2518" s="276"/>
      <c r="F2518" s="222"/>
      <c r="G2518" s="224"/>
    </row>
    <row r="2519" spans="1:8" s="1088" customFormat="1" ht="14.25" x14ac:dyDescent="0.2">
      <c r="A2519" s="209"/>
      <c r="B2519" s="259"/>
      <c r="C2519" s="260"/>
      <c r="D2519" s="261"/>
      <c r="E2519" s="276"/>
      <c r="F2519" s="222"/>
      <c r="G2519" s="224"/>
    </row>
    <row r="2520" spans="1:8" s="1088" customFormat="1" ht="14.25" x14ac:dyDescent="0.2">
      <c r="A2520" s="209"/>
      <c r="B2520" s="259"/>
      <c r="C2520" s="260"/>
      <c r="D2520" s="261"/>
      <c r="E2520" s="276"/>
      <c r="F2520" s="222"/>
      <c r="G2520" s="224"/>
    </row>
    <row r="2521" spans="1:8" s="1088" customFormat="1" ht="14.25" x14ac:dyDescent="0.2">
      <c r="A2521" s="209"/>
      <c r="B2521" s="245"/>
      <c r="C2521" s="265"/>
      <c r="D2521" s="246"/>
      <c r="E2521" s="265"/>
      <c r="F2521" s="266"/>
      <c r="G2521" s="267"/>
    </row>
    <row r="2522" spans="1:8" s="1088" customFormat="1" ht="14.25" x14ac:dyDescent="0.2">
      <c r="A2522" s="249"/>
      <c r="B2522" s="250"/>
      <c r="C2522" s="252"/>
      <c r="D2522" s="251"/>
      <c r="E2522" s="252"/>
      <c r="F2522" s="254"/>
      <c r="G2522" s="268"/>
    </row>
    <row r="2523" spans="1:8" s="1088" customFormat="1" ht="15" x14ac:dyDescent="0.25">
      <c r="A2523" s="209"/>
      <c r="B2523" s="212"/>
      <c r="C2523" s="211"/>
      <c r="D2523" s="212"/>
      <c r="E2523" s="269"/>
      <c r="F2523" s="269" t="s">
        <v>121</v>
      </c>
      <c r="G2523" s="270">
        <f>+SUM(G2517:G2522)</f>
        <v>4533.333333333333</v>
      </c>
    </row>
    <row r="2524" spans="1:8" s="1088" customFormat="1" ht="14.25" x14ac:dyDescent="0.2">
      <c r="A2524" s="209"/>
      <c r="B2524" s="212"/>
      <c r="C2524" s="211"/>
      <c r="D2524" s="212"/>
      <c r="E2524" s="213"/>
      <c r="F2524" s="214"/>
      <c r="G2524" s="271"/>
    </row>
    <row r="2525" spans="1:8" s="1088" customFormat="1" ht="15" x14ac:dyDescent="0.25">
      <c r="A2525" s="277"/>
      <c r="B2525" s="278"/>
      <c r="C2525" s="278"/>
      <c r="D2525" s="278"/>
      <c r="E2525" s="279"/>
      <c r="F2525" s="280" t="s">
        <v>137</v>
      </c>
      <c r="G2525" s="283">
        <f>+ROUND(G2493+G2503+G2512+G2523,0)</f>
        <v>7365</v>
      </c>
    </row>
    <row r="2526" spans="1:8" ht="15" x14ac:dyDescent="0.25">
      <c r="A2526" s="58"/>
      <c r="B2526" s="54"/>
      <c r="C2526" s="54"/>
      <c r="D2526" s="54"/>
      <c r="E2526" s="55"/>
      <c r="F2526" s="103"/>
      <c r="G2526" s="291"/>
      <c r="H2526" s="134"/>
    </row>
    <row r="2527" spans="1:8" s="1088" customFormat="1" ht="15" x14ac:dyDescent="0.25">
      <c r="A2527" s="145" t="s">
        <v>160</v>
      </c>
      <c r="B2527" s="1262" t="s">
        <v>161</v>
      </c>
      <c r="C2527" s="1263"/>
      <c r="D2527" s="1263"/>
      <c r="E2527" s="1263"/>
      <c r="F2527" s="1264"/>
      <c r="G2527" s="146" t="s">
        <v>2</v>
      </c>
    </row>
    <row r="2528" spans="1:8" s="1088" customFormat="1" ht="15" x14ac:dyDescent="0.25">
      <c r="A2528" s="285">
        <f>'FORMATO PROPUESTA ECONÓMICA'!A76</f>
        <v>7.14</v>
      </c>
      <c r="B2528" s="1265" t="str">
        <f>'FORMATO PROPUESTA ECONÓMICA'!B76</f>
        <v xml:space="preserve">Unión lisa pvc 1/2" presión </v>
      </c>
      <c r="C2528" s="1266"/>
      <c r="D2528" s="1266"/>
      <c r="E2528" s="1266"/>
      <c r="F2528" s="1267"/>
      <c r="G2528" s="187" t="str">
        <f>'FORMATO PROPUESTA ECONÓMICA'!C76</f>
        <v>und</v>
      </c>
    </row>
    <row r="2529" spans="1:7" s="1088" customFormat="1" ht="14.25" x14ac:dyDescent="0.2">
      <c r="A2529" s="209"/>
      <c r="B2529" s="210"/>
      <c r="C2529" s="211"/>
      <c r="D2529" s="212"/>
      <c r="E2529" s="213"/>
      <c r="F2529" s="214"/>
      <c r="G2529" s="215"/>
    </row>
    <row r="2530" spans="1:7" s="1088" customFormat="1" ht="15" x14ac:dyDescent="0.25">
      <c r="A2530" s="216" t="s">
        <v>115</v>
      </c>
      <c r="B2530" s="212"/>
      <c r="C2530" s="211"/>
      <c r="D2530" s="212"/>
      <c r="E2530" s="213"/>
      <c r="F2530" s="214"/>
      <c r="G2530" s="215"/>
    </row>
    <row r="2531" spans="1:7" s="1088" customFormat="1" ht="14.25" x14ac:dyDescent="0.2">
      <c r="A2531" s="209"/>
      <c r="B2531" s="212"/>
      <c r="C2531" s="211"/>
      <c r="D2531" s="212"/>
      <c r="E2531" s="213"/>
      <c r="F2531" s="214"/>
      <c r="G2531" s="215"/>
    </row>
    <row r="2532" spans="1:7" s="1088" customFormat="1" ht="15" x14ac:dyDescent="0.25">
      <c r="A2532" s="1075" t="s">
        <v>116</v>
      </c>
      <c r="B2532" s="1076"/>
      <c r="C2532" s="217" t="s">
        <v>117</v>
      </c>
      <c r="D2532" s="1075" t="s">
        <v>118</v>
      </c>
      <c r="E2532" s="218" t="s">
        <v>39</v>
      </c>
      <c r="F2532" s="237" t="s">
        <v>126</v>
      </c>
      <c r="G2532" s="219" t="s">
        <v>120</v>
      </c>
    </row>
    <row r="2533" spans="1:7" s="1088" customFormat="1" ht="15" customHeight="1" x14ac:dyDescent="0.2">
      <c r="A2533" s="209"/>
      <c r="B2533" s="286"/>
      <c r="C2533" s="220"/>
      <c r="D2533" s="261"/>
      <c r="E2533" s="276"/>
      <c r="F2533" s="222"/>
      <c r="G2533" s="224"/>
    </row>
    <row r="2534" spans="1:7" s="1088" customFormat="1" ht="14.25" x14ac:dyDescent="0.2">
      <c r="A2534" s="1060"/>
      <c r="B2534" s="1068"/>
      <c r="C2534" s="225"/>
      <c r="D2534" s="221"/>
      <c r="E2534" s="226"/>
      <c r="F2534" s="227"/>
      <c r="G2534" s="228">
        <f>D2534*E2534</f>
        <v>0</v>
      </c>
    </row>
    <row r="2535" spans="1:7" s="1088" customFormat="1" ht="14.25" x14ac:dyDescent="0.2">
      <c r="A2535" s="1060"/>
      <c r="B2535" s="1068"/>
      <c r="C2535" s="229"/>
      <c r="D2535" s="221"/>
      <c r="E2535" s="226"/>
      <c r="F2535" s="227"/>
      <c r="G2535" s="228">
        <f>D2535*E2535</f>
        <v>0</v>
      </c>
    </row>
    <row r="2536" spans="1:7" s="1088" customFormat="1" ht="14.25" x14ac:dyDescent="0.2">
      <c r="A2536" s="1060"/>
      <c r="B2536" s="1068"/>
      <c r="C2536" s="225"/>
      <c r="D2536" s="221"/>
      <c r="E2536" s="226"/>
      <c r="F2536" s="227"/>
      <c r="G2536" s="228">
        <f>D2536*E2536</f>
        <v>0</v>
      </c>
    </row>
    <row r="2537" spans="1:7" s="1088" customFormat="1" ht="14.25" x14ac:dyDescent="0.2">
      <c r="A2537" s="1069"/>
      <c r="B2537" s="1070"/>
      <c r="C2537" s="230"/>
      <c r="D2537" s="231"/>
      <c r="E2537" s="232"/>
      <c r="F2537" s="233"/>
      <c r="G2537" s="228">
        <f>D2537*E2537</f>
        <v>0</v>
      </c>
    </row>
    <row r="2538" spans="1:7" s="1088" customFormat="1" ht="15" x14ac:dyDescent="0.25">
      <c r="A2538" s="1073"/>
      <c r="B2538" s="210"/>
      <c r="C2538" s="211"/>
      <c r="D2538" s="212"/>
      <c r="E2538" s="212"/>
      <c r="F2538" s="234" t="s">
        <v>121</v>
      </c>
      <c r="G2538" s="231">
        <f>+SUM(G2533:G2537)</f>
        <v>0</v>
      </c>
    </row>
    <row r="2539" spans="1:7" s="1088" customFormat="1" ht="14.25" x14ac:dyDescent="0.2">
      <c r="A2539" s="209"/>
      <c r="B2539" s="212"/>
      <c r="C2539" s="211" t="s">
        <v>123</v>
      </c>
      <c r="D2539" s="212"/>
      <c r="E2539" s="213"/>
      <c r="F2539" s="214"/>
      <c r="G2539" s="215"/>
    </row>
    <row r="2540" spans="1:7" s="1088" customFormat="1" ht="15" x14ac:dyDescent="0.25">
      <c r="A2540" s="216" t="s">
        <v>122</v>
      </c>
      <c r="B2540" s="212"/>
      <c r="C2540" s="211" t="s">
        <v>123</v>
      </c>
      <c r="D2540" s="212"/>
      <c r="E2540" s="213"/>
      <c r="F2540" s="214"/>
      <c r="G2540" s="215"/>
    </row>
    <row r="2541" spans="1:7" s="1088" customFormat="1" ht="14.25" x14ac:dyDescent="0.2">
      <c r="A2541" s="209"/>
      <c r="B2541" s="212"/>
      <c r="C2541" s="211"/>
      <c r="D2541" s="212"/>
      <c r="E2541" s="213"/>
      <c r="F2541" s="214"/>
      <c r="G2541" s="215"/>
    </row>
    <row r="2542" spans="1:7" s="1088" customFormat="1" ht="15" x14ac:dyDescent="0.25">
      <c r="A2542" s="1071" t="s">
        <v>116</v>
      </c>
      <c r="B2542" s="1072"/>
      <c r="C2542" s="235" t="s">
        <v>117</v>
      </c>
      <c r="D2542" s="236" t="s">
        <v>124</v>
      </c>
      <c r="E2542" s="236" t="s">
        <v>125</v>
      </c>
      <c r="F2542" s="237" t="s">
        <v>126</v>
      </c>
      <c r="G2542" s="238" t="s">
        <v>120</v>
      </c>
    </row>
    <row r="2543" spans="1:7" s="1088" customFormat="1" ht="28.5" x14ac:dyDescent="0.2">
      <c r="A2543" s="1066" t="s">
        <v>127</v>
      </c>
      <c r="B2543" s="1067"/>
      <c r="C2543" s="239" t="s">
        <v>128</v>
      </c>
      <c r="D2543" s="240"/>
      <c r="E2543" s="241"/>
      <c r="F2543" s="222"/>
      <c r="G2543" s="242">
        <f>G2557*0.05</f>
        <v>33.70664</v>
      </c>
    </row>
    <row r="2544" spans="1:7" s="1088" customFormat="1" ht="14.25" x14ac:dyDescent="0.2">
      <c r="A2544" s="1256" t="str">
        <f>B2528</f>
        <v xml:space="preserve">Unión lisa pvc 1/2" presión </v>
      </c>
      <c r="B2544" s="1257"/>
      <c r="C2544" s="220"/>
      <c r="D2544" s="261"/>
      <c r="E2544" s="289">
        <v>1</v>
      </c>
      <c r="F2544" s="290">
        <v>1</v>
      </c>
      <c r="G2544" s="242">
        <f>D2544*F2544</f>
        <v>0</v>
      </c>
    </row>
    <row r="2545" spans="1:7" s="1088" customFormat="1" ht="14.25" x14ac:dyDescent="0.2">
      <c r="A2545" s="1073"/>
      <c r="B2545" s="1074"/>
      <c r="C2545" s="243"/>
      <c r="D2545" s="221"/>
      <c r="E2545" s="244"/>
      <c r="F2545" s="222"/>
      <c r="G2545" s="224"/>
    </row>
    <row r="2546" spans="1:7" s="1088" customFormat="1" ht="14.25" x14ac:dyDescent="0.2">
      <c r="A2546" s="209"/>
      <c r="B2546" s="245"/>
      <c r="C2546" s="246"/>
      <c r="D2546" s="221"/>
      <c r="E2546" s="247"/>
      <c r="F2546" s="222"/>
      <c r="G2546" s="248"/>
    </row>
    <row r="2547" spans="1:7" s="1088" customFormat="1" ht="14.25" x14ac:dyDescent="0.2">
      <c r="A2547" s="249"/>
      <c r="B2547" s="250"/>
      <c r="C2547" s="251"/>
      <c r="D2547" s="252"/>
      <c r="E2547" s="253"/>
      <c r="F2547" s="254"/>
      <c r="G2547" s="255"/>
    </row>
    <row r="2548" spans="1:7" s="1088" customFormat="1" ht="15" x14ac:dyDescent="0.25">
      <c r="A2548" s="209"/>
      <c r="B2548" s="214"/>
      <c r="C2548" s="256"/>
      <c r="D2548" s="214"/>
      <c r="E2548" s="212"/>
      <c r="F2548" s="257" t="s">
        <v>121</v>
      </c>
      <c r="G2548" s="258">
        <f>+SUM(G2543:G2547)</f>
        <v>33.70664</v>
      </c>
    </row>
    <row r="2549" spans="1:7" s="1088" customFormat="1" ht="14.25" customHeight="1" x14ac:dyDescent="0.2">
      <c r="A2549" s="209"/>
      <c r="B2549" s="212"/>
      <c r="C2549" s="211"/>
      <c r="D2549" s="212"/>
      <c r="E2549" s="213"/>
      <c r="F2549" s="212"/>
      <c r="G2549" s="215"/>
    </row>
    <row r="2550" spans="1:7" s="1088" customFormat="1" ht="15" x14ac:dyDescent="0.25">
      <c r="A2550" s="216" t="s">
        <v>130</v>
      </c>
      <c r="B2550" s="212"/>
      <c r="C2550" s="211"/>
      <c r="D2550" s="212"/>
      <c r="E2550" s="213"/>
      <c r="F2550" s="214"/>
      <c r="G2550" s="215"/>
    </row>
    <row r="2551" spans="1:7" s="1088" customFormat="1" ht="14.25" x14ac:dyDescent="0.2">
      <c r="A2551" s="209"/>
      <c r="B2551" s="212"/>
      <c r="C2551" s="211"/>
      <c r="D2551" s="212"/>
      <c r="E2551" s="213"/>
      <c r="F2551" s="214"/>
      <c r="G2551" s="215"/>
    </row>
    <row r="2552" spans="1:7" s="1088" customFormat="1" ht="15" x14ac:dyDescent="0.25">
      <c r="A2552" s="1071" t="s">
        <v>116</v>
      </c>
      <c r="B2552" s="1072"/>
      <c r="C2552" s="236" t="s">
        <v>131</v>
      </c>
      <c r="D2552" s="235" t="s">
        <v>132</v>
      </c>
      <c r="E2552" s="236" t="s">
        <v>133</v>
      </c>
      <c r="F2552" s="237" t="s">
        <v>126</v>
      </c>
      <c r="G2552" s="238" t="s">
        <v>134</v>
      </c>
    </row>
    <row r="2553" spans="1:7" s="1088" customFormat="1" ht="14.25" x14ac:dyDescent="0.2">
      <c r="A2553" s="209" t="s">
        <v>10</v>
      </c>
      <c r="B2553" s="259"/>
      <c r="C2553" s="260">
        <f>M2</f>
        <v>22981.8</v>
      </c>
      <c r="D2553" s="261">
        <f>N2</f>
        <v>1.76</v>
      </c>
      <c r="E2553" s="276">
        <f>C2553*D2553</f>
        <v>40447.968000000001</v>
      </c>
      <c r="F2553" s="222">
        <f>1/60</f>
        <v>1.6666666666666666E-2</v>
      </c>
      <c r="G2553" s="224">
        <f>F2553*E2553</f>
        <v>674.13279999999997</v>
      </c>
    </row>
    <row r="2554" spans="1:7" s="1088" customFormat="1" ht="14.25" x14ac:dyDescent="0.2">
      <c r="A2554" s="209"/>
      <c r="B2554" s="259"/>
      <c r="C2554" s="260"/>
      <c r="D2554" s="261"/>
      <c r="E2554" s="276"/>
      <c r="F2554" s="222"/>
      <c r="G2554" s="224">
        <f>F2554*E2554</f>
        <v>0</v>
      </c>
    </row>
    <row r="2555" spans="1:7" s="1088" customFormat="1" ht="14.25" x14ac:dyDescent="0.2">
      <c r="A2555" s="209"/>
      <c r="B2555" s="245"/>
      <c r="C2555" s="265"/>
      <c r="D2555" s="246"/>
      <c r="E2555" s="265"/>
      <c r="F2555" s="266"/>
      <c r="G2555" s="267"/>
    </row>
    <row r="2556" spans="1:7" s="1088" customFormat="1" ht="14.25" x14ac:dyDescent="0.2">
      <c r="A2556" s="249"/>
      <c r="B2556" s="250"/>
      <c r="C2556" s="252"/>
      <c r="D2556" s="251"/>
      <c r="E2556" s="252"/>
      <c r="F2556" s="254"/>
      <c r="G2556" s="268"/>
    </row>
    <row r="2557" spans="1:7" s="1088" customFormat="1" ht="15" x14ac:dyDescent="0.25">
      <c r="A2557" s="209"/>
      <c r="B2557" s="212"/>
      <c r="C2557" s="211"/>
      <c r="D2557" s="212"/>
      <c r="E2557" s="269"/>
      <c r="F2557" s="269" t="s">
        <v>121</v>
      </c>
      <c r="G2557" s="270">
        <f>+SUM(G2553:G2556)</f>
        <v>674.13279999999997</v>
      </c>
    </row>
    <row r="2558" spans="1:7" s="1088" customFormat="1" ht="15" x14ac:dyDescent="0.25">
      <c r="A2558" s="209"/>
      <c r="B2558" s="212"/>
      <c r="C2558" s="211"/>
      <c r="D2558" s="212"/>
      <c r="E2558" s="257"/>
      <c r="F2558" s="257"/>
      <c r="G2558" s="271"/>
    </row>
    <row r="2559" spans="1:7" s="1088" customFormat="1" ht="15" x14ac:dyDescent="0.25">
      <c r="A2559" s="216" t="s">
        <v>135</v>
      </c>
      <c r="B2559" s="212"/>
      <c r="C2559" s="211"/>
      <c r="D2559" s="212"/>
      <c r="E2559" s="213"/>
      <c r="F2559" s="214"/>
      <c r="G2559" s="215"/>
    </row>
    <row r="2560" spans="1:7" s="1088" customFormat="1" ht="14.25" x14ac:dyDescent="0.2">
      <c r="A2560" s="209"/>
      <c r="B2560" s="212"/>
      <c r="C2560" s="211"/>
      <c r="D2560" s="212"/>
      <c r="E2560" s="213"/>
      <c r="F2560" s="214"/>
      <c r="G2560" s="215"/>
    </row>
    <row r="2561" spans="1:8" s="1088" customFormat="1" ht="15" x14ac:dyDescent="0.25">
      <c r="A2561" s="1071" t="s">
        <v>116</v>
      </c>
      <c r="B2561" s="1072"/>
      <c r="C2561" s="236" t="s">
        <v>117</v>
      </c>
      <c r="D2561" s="235" t="s">
        <v>136</v>
      </c>
      <c r="E2561" s="236" t="s">
        <v>124</v>
      </c>
      <c r="F2561" s="237" t="s">
        <v>126</v>
      </c>
      <c r="G2561" s="238" t="s">
        <v>134</v>
      </c>
    </row>
    <row r="2562" spans="1:8" s="1088" customFormat="1" ht="14.25" x14ac:dyDescent="0.2">
      <c r="A2562" s="209" t="s">
        <v>175</v>
      </c>
      <c r="B2562" s="286"/>
      <c r="C2562" s="287" t="s">
        <v>79</v>
      </c>
      <c r="D2562" s="261"/>
      <c r="E2562" s="276">
        <v>68000</v>
      </c>
      <c r="F2562" s="222">
        <f>1/60</f>
        <v>1.6666666666666666E-2</v>
      </c>
      <c r="G2562" s="224">
        <f>F2562*E2562</f>
        <v>1133.3333333333333</v>
      </c>
    </row>
    <row r="2563" spans="1:8" s="1088" customFormat="1" ht="14.25" x14ac:dyDescent="0.2">
      <c r="A2563" s="209"/>
      <c r="B2563" s="275"/>
      <c r="C2563" s="260"/>
      <c r="D2563" s="261"/>
      <c r="E2563" s="276"/>
      <c r="F2563" s="222"/>
      <c r="G2563" s="224"/>
    </row>
    <row r="2564" spans="1:8" s="1088" customFormat="1" ht="14.25" x14ac:dyDescent="0.2">
      <c r="A2564" s="209"/>
      <c r="B2564" s="259"/>
      <c r="C2564" s="260"/>
      <c r="D2564" s="261"/>
      <c r="E2564" s="276"/>
      <c r="F2564" s="222"/>
      <c r="G2564" s="224"/>
    </row>
    <row r="2565" spans="1:8" s="1088" customFormat="1" ht="14.25" x14ac:dyDescent="0.2">
      <c r="A2565" s="209"/>
      <c r="B2565" s="259"/>
      <c r="C2565" s="260"/>
      <c r="D2565" s="261"/>
      <c r="E2565" s="276"/>
      <c r="F2565" s="222"/>
      <c r="G2565" s="224"/>
    </row>
    <row r="2566" spans="1:8" s="1088" customFormat="1" ht="14.25" x14ac:dyDescent="0.2">
      <c r="A2566" s="209"/>
      <c r="B2566" s="245"/>
      <c r="C2566" s="265"/>
      <c r="D2566" s="246"/>
      <c r="E2566" s="265"/>
      <c r="F2566" s="266"/>
      <c r="G2566" s="267"/>
    </row>
    <row r="2567" spans="1:8" s="1088" customFormat="1" ht="14.25" x14ac:dyDescent="0.2">
      <c r="A2567" s="249"/>
      <c r="B2567" s="250"/>
      <c r="C2567" s="252"/>
      <c r="D2567" s="251"/>
      <c r="E2567" s="252"/>
      <c r="F2567" s="254"/>
      <c r="G2567" s="268"/>
    </row>
    <row r="2568" spans="1:8" s="1088" customFormat="1" ht="15" x14ac:dyDescent="0.25">
      <c r="A2568" s="209"/>
      <c r="B2568" s="212"/>
      <c r="C2568" s="211"/>
      <c r="D2568" s="212"/>
      <c r="E2568" s="269"/>
      <c r="F2568" s="269" t="s">
        <v>121</v>
      </c>
      <c r="G2568" s="270">
        <f>+SUM(G2562:G2567)</f>
        <v>1133.3333333333333</v>
      </c>
    </row>
    <row r="2569" spans="1:8" s="1088" customFormat="1" ht="14.25" x14ac:dyDescent="0.2">
      <c r="A2569" s="209"/>
      <c r="B2569" s="212"/>
      <c r="C2569" s="211"/>
      <c r="D2569" s="212"/>
      <c r="E2569" s="213"/>
      <c r="F2569" s="214"/>
      <c r="G2569" s="271"/>
    </row>
    <row r="2570" spans="1:8" s="1088" customFormat="1" ht="15" x14ac:dyDescent="0.25">
      <c r="A2570" s="277"/>
      <c r="B2570" s="278"/>
      <c r="C2570" s="278"/>
      <c r="D2570" s="278"/>
      <c r="E2570" s="279"/>
      <c r="F2570" s="280" t="s">
        <v>137</v>
      </c>
      <c r="G2570" s="283">
        <f>+ROUND(G2538+G2548+G2557+G2568,0)</f>
        <v>1841</v>
      </c>
    </row>
    <row r="2571" spans="1:8" ht="15" x14ac:dyDescent="0.25">
      <c r="A2571" s="58"/>
      <c r="B2571" s="54"/>
      <c r="C2571" s="54"/>
      <c r="D2571" s="54"/>
      <c r="E2571" s="55"/>
      <c r="F2571" s="103"/>
      <c r="G2571" s="291"/>
      <c r="H2571" s="134"/>
    </row>
    <row r="2572" spans="1:8" s="1088" customFormat="1" ht="15" x14ac:dyDescent="0.25">
      <c r="A2572" s="145" t="s">
        <v>160</v>
      </c>
      <c r="B2572" s="1262" t="s">
        <v>161</v>
      </c>
      <c r="C2572" s="1263"/>
      <c r="D2572" s="1263"/>
      <c r="E2572" s="1263"/>
      <c r="F2572" s="1264"/>
      <c r="G2572" s="146" t="s">
        <v>2</v>
      </c>
    </row>
    <row r="2573" spans="1:8" s="1088" customFormat="1" ht="15" x14ac:dyDescent="0.25">
      <c r="A2573" s="285">
        <f>'FORMATO PROPUESTA ECONÓMICA'!A77</f>
        <v>7.15</v>
      </c>
      <c r="B2573" s="1265" t="str">
        <f>'FORMATO PROPUESTA ECONÓMICA'!B77</f>
        <v>Codo liso pvc  1/2"X90° presión</v>
      </c>
      <c r="C2573" s="1266"/>
      <c r="D2573" s="1266"/>
      <c r="E2573" s="1266"/>
      <c r="F2573" s="1267"/>
      <c r="G2573" s="187" t="str">
        <f>'FORMATO PROPUESTA ECONÓMICA'!C77</f>
        <v>und</v>
      </c>
    </row>
    <row r="2574" spans="1:8" s="1088" customFormat="1" ht="14.25" x14ac:dyDescent="0.2">
      <c r="A2574" s="209"/>
      <c r="B2574" s="210"/>
      <c r="C2574" s="211"/>
      <c r="D2574" s="212"/>
      <c r="E2574" s="213"/>
      <c r="F2574" s="214"/>
      <c r="G2574" s="215"/>
    </row>
    <row r="2575" spans="1:8" s="1088" customFormat="1" ht="15" x14ac:dyDescent="0.25">
      <c r="A2575" s="216" t="s">
        <v>115</v>
      </c>
      <c r="B2575" s="212"/>
      <c r="C2575" s="211"/>
      <c r="D2575" s="212"/>
      <c r="E2575" s="213"/>
      <c r="F2575" s="214"/>
      <c r="G2575" s="215"/>
    </row>
    <row r="2576" spans="1:8" s="1088" customFormat="1" ht="14.25" x14ac:dyDescent="0.2">
      <c r="A2576" s="209"/>
      <c r="B2576" s="212"/>
      <c r="C2576" s="211"/>
      <c r="D2576" s="212"/>
      <c r="E2576" s="213"/>
      <c r="F2576" s="214"/>
      <c r="G2576" s="215"/>
    </row>
    <row r="2577" spans="1:7" s="1088" customFormat="1" ht="15" x14ac:dyDescent="0.25">
      <c r="A2577" s="1075" t="s">
        <v>116</v>
      </c>
      <c r="B2577" s="1076"/>
      <c r="C2577" s="217" t="s">
        <v>117</v>
      </c>
      <c r="D2577" s="1075" t="s">
        <v>118</v>
      </c>
      <c r="E2577" s="218" t="s">
        <v>39</v>
      </c>
      <c r="F2577" s="237" t="s">
        <v>126</v>
      </c>
      <c r="G2577" s="219" t="s">
        <v>120</v>
      </c>
    </row>
    <row r="2578" spans="1:7" s="1088" customFormat="1" ht="15" customHeight="1" x14ac:dyDescent="0.2">
      <c r="A2578" s="209"/>
      <c r="B2578" s="286"/>
      <c r="C2578" s="220"/>
      <c r="D2578" s="261"/>
      <c r="E2578" s="276"/>
      <c r="F2578" s="222"/>
      <c r="G2578" s="224"/>
    </row>
    <row r="2579" spans="1:7" s="1088" customFormat="1" ht="14.25" x14ac:dyDescent="0.2">
      <c r="A2579" s="1060"/>
      <c r="B2579" s="1068"/>
      <c r="C2579" s="225"/>
      <c r="D2579" s="221"/>
      <c r="E2579" s="226"/>
      <c r="F2579" s="227"/>
      <c r="G2579" s="228">
        <f>D2579*E2579</f>
        <v>0</v>
      </c>
    </row>
    <row r="2580" spans="1:7" s="1088" customFormat="1" ht="14.25" x14ac:dyDescent="0.2">
      <c r="A2580" s="1060"/>
      <c r="B2580" s="1068"/>
      <c r="C2580" s="229"/>
      <c r="D2580" s="221"/>
      <c r="E2580" s="226"/>
      <c r="F2580" s="227"/>
      <c r="G2580" s="228">
        <f>D2580*E2580</f>
        <v>0</v>
      </c>
    </row>
    <row r="2581" spans="1:7" s="1088" customFormat="1" ht="14.25" x14ac:dyDescent="0.2">
      <c r="A2581" s="1060"/>
      <c r="B2581" s="1068"/>
      <c r="C2581" s="225"/>
      <c r="D2581" s="221"/>
      <c r="E2581" s="226"/>
      <c r="F2581" s="227"/>
      <c r="G2581" s="228">
        <f>D2581*E2581</f>
        <v>0</v>
      </c>
    </row>
    <row r="2582" spans="1:7" s="1088" customFormat="1" ht="14.25" x14ac:dyDescent="0.2">
      <c r="A2582" s="1069"/>
      <c r="B2582" s="1070"/>
      <c r="C2582" s="230"/>
      <c r="D2582" s="231"/>
      <c r="E2582" s="232"/>
      <c r="F2582" s="233"/>
      <c r="G2582" s="228">
        <f>D2582*E2582</f>
        <v>0</v>
      </c>
    </row>
    <row r="2583" spans="1:7" s="1088" customFormat="1" ht="15" x14ac:dyDescent="0.25">
      <c r="A2583" s="1073"/>
      <c r="B2583" s="210"/>
      <c r="C2583" s="211"/>
      <c r="D2583" s="212"/>
      <c r="E2583" s="212"/>
      <c r="F2583" s="234" t="s">
        <v>121</v>
      </c>
      <c r="G2583" s="231">
        <f>+SUM(G2578:G2582)</f>
        <v>0</v>
      </c>
    </row>
    <row r="2584" spans="1:7" s="1088" customFormat="1" ht="14.25" x14ac:dyDescent="0.2">
      <c r="A2584" s="209"/>
      <c r="B2584" s="212"/>
      <c r="C2584" s="211" t="s">
        <v>123</v>
      </c>
      <c r="D2584" s="212"/>
      <c r="E2584" s="213"/>
      <c r="F2584" s="214"/>
      <c r="G2584" s="215"/>
    </row>
    <row r="2585" spans="1:7" s="1088" customFormat="1" ht="15" x14ac:dyDescent="0.25">
      <c r="A2585" s="216" t="s">
        <v>122</v>
      </c>
      <c r="B2585" s="212"/>
      <c r="C2585" s="211" t="s">
        <v>123</v>
      </c>
      <c r="D2585" s="212"/>
      <c r="E2585" s="213"/>
      <c r="F2585" s="214"/>
      <c r="G2585" s="215"/>
    </row>
    <row r="2586" spans="1:7" s="1088" customFormat="1" ht="14.25" x14ac:dyDescent="0.2">
      <c r="A2586" s="209"/>
      <c r="B2586" s="212"/>
      <c r="C2586" s="211"/>
      <c r="D2586" s="212"/>
      <c r="E2586" s="213"/>
      <c r="F2586" s="214"/>
      <c r="G2586" s="215"/>
    </row>
    <row r="2587" spans="1:7" s="1088" customFormat="1" ht="15" x14ac:dyDescent="0.25">
      <c r="A2587" s="1071" t="s">
        <v>116</v>
      </c>
      <c r="B2587" s="1072"/>
      <c r="C2587" s="235" t="s">
        <v>117</v>
      </c>
      <c r="D2587" s="236" t="s">
        <v>124</v>
      </c>
      <c r="E2587" s="236" t="s">
        <v>125</v>
      </c>
      <c r="F2587" s="237" t="s">
        <v>126</v>
      </c>
      <c r="G2587" s="238" t="s">
        <v>120</v>
      </c>
    </row>
    <row r="2588" spans="1:7" s="1088" customFormat="1" ht="28.5" x14ac:dyDescent="0.2">
      <c r="A2588" s="1066" t="s">
        <v>127</v>
      </c>
      <c r="B2588" s="1067"/>
      <c r="C2588" s="239" t="s">
        <v>128</v>
      </c>
      <c r="D2588" s="240"/>
      <c r="E2588" s="241"/>
      <c r="F2588" s="222"/>
      <c r="G2588" s="242">
        <f>G2602*0.05</f>
        <v>33.70664</v>
      </c>
    </row>
    <row r="2589" spans="1:7" s="1088" customFormat="1" ht="14.25" x14ac:dyDescent="0.2">
      <c r="A2589" s="1256" t="str">
        <f>B2573</f>
        <v>Codo liso pvc  1/2"X90° presión</v>
      </c>
      <c r="B2589" s="1257"/>
      <c r="C2589" s="220"/>
      <c r="D2589" s="261"/>
      <c r="E2589" s="289">
        <v>1</v>
      </c>
      <c r="F2589" s="290">
        <v>1</v>
      </c>
      <c r="G2589" s="242">
        <f>D2589*F2589</f>
        <v>0</v>
      </c>
    </row>
    <row r="2590" spans="1:7" s="1088" customFormat="1" ht="14.25" x14ac:dyDescent="0.2">
      <c r="A2590" s="1073"/>
      <c r="B2590" s="1074"/>
      <c r="C2590" s="243"/>
      <c r="D2590" s="221"/>
      <c r="E2590" s="244"/>
      <c r="F2590" s="222"/>
      <c r="G2590" s="224"/>
    </row>
    <row r="2591" spans="1:7" s="1088" customFormat="1" ht="14.25" x14ac:dyDescent="0.2">
      <c r="A2591" s="209"/>
      <c r="B2591" s="245"/>
      <c r="C2591" s="246"/>
      <c r="D2591" s="221"/>
      <c r="E2591" s="247"/>
      <c r="F2591" s="222"/>
      <c r="G2591" s="248"/>
    </row>
    <row r="2592" spans="1:7" s="1088" customFormat="1" ht="14.25" x14ac:dyDescent="0.2">
      <c r="A2592" s="249"/>
      <c r="B2592" s="250"/>
      <c r="C2592" s="251"/>
      <c r="D2592" s="252"/>
      <c r="E2592" s="253"/>
      <c r="F2592" s="254"/>
      <c r="G2592" s="255"/>
    </row>
    <row r="2593" spans="1:7" s="1088" customFormat="1" ht="15" x14ac:dyDescent="0.25">
      <c r="A2593" s="209"/>
      <c r="B2593" s="214"/>
      <c r="C2593" s="256"/>
      <c r="D2593" s="214"/>
      <c r="E2593" s="212"/>
      <c r="F2593" s="257" t="s">
        <v>121</v>
      </c>
      <c r="G2593" s="258">
        <f>+SUM(G2588:G2592)</f>
        <v>33.70664</v>
      </c>
    </row>
    <row r="2594" spans="1:7" s="1088" customFormat="1" ht="14.25" customHeight="1" x14ac:dyDescent="0.2">
      <c r="A2594" s="209"/>
      <c r="B2594" s="212"/>
      <c r="C2594" s="211"/>
      <c r="D2594" s="212"/>
      <c r="E2594" s="213"/>
      <c r="F2594" s="212"/>
      <c r="G2594" s="215"/>
    </row>
    <row r="2595" spans="1:7" s="1088" customFormat="1" ht="15" x14ac:dyDescent="0.25">
      <c r="A2595" s="216" t="s">
        <v>130</v>
      </c>
      <c r="B2595" s="212"/>
      <c r="C2595" s="211"/>
      <c r="D2595" s="212"/>
      <c r="E2595" s="213"/>
      <c r="F2595" s="214"/>
      <c r="G2595" s="215"/>
    </row>
    <row r="2596" spans="1:7" s="1088" customFormat="1" ht="14.25" x14ac:dyDescent="0.2">
      <c r="A2596" s="209"/>
      <c r="B2596" s="212"/>
      <c r="C2596" s="211"/>
      <c r="D2596" s="212"/>
      <c r="E2596" s="213"/>
      <c r="F2596" s="214"/>
      <c r="G2596" s="215"/>
    </row>
    <row r="2597" spans="1:7" s="1088" customFormat="1" ht="15" x14ac:dyDescent="0.25">
      <c r="A2597" s="1071" t="s">
        <v>116</v>
      </c>
      <c r="B2597" s="1072"/>
      <c r="C2597" s="236" t="s">
        <v>131</v>
      </c>
      <c r="D2597" s="235" t="s">
        <v>132</v>
      </c>
      <c r="E2597" s="236" t="s">
        <v>133</v>
      </c>
      <c r="F2597" s="237" t="s">
        <v>126</v>
      </c>
      <c r="G2597" s="238" t="s">
        <v>134</v>
      </c>
    </row>
    <row r="2598" spans="1:7" s="1088" customFormat="1" ht="14.25" x14ac:dyDescent="0.2">
      <c r="A2598" s="209" t="s">
        <v>10</v>
      </c>
      <c r="B2598" s="259"/>
      <c r="C2598" s="260">
        <f>M2</f>
        <v>22981.8</v>
      </c>
      <c r="D2598" s="261">
        <f>N2</f>
        <v>1.76</v>
      </c>
      <c r="E2598" s="276">
        <f>C2598*D2598</f>
        <v>40447.968000000001</v>
      </c>
      <c r="F2598" s="222">
        <f>1/60</f>
        <v>1.6666666666666666E-2</v>
      </c>
      <c r="G2598" s="224">
        <f>F2598*E2598</f>
        <v>674.13279999999997</v>
      </c>
    </row>
    <row r="2599" spans="1:7" s="1088" customFormat="1" ht="14.25" x14ac:dyDescent="0.2">
      <c r="A2599" s="209"/>
      <c r="B2599" s="259"/>
      <c r="C2599" s="260"/>
      <c r="D2599" s="261"/>
      <c r="E2599" s="276"/>
      <c r="F2599" s="222"/>
      <c r="G2599" s="224">
        <f>F2599*E2599</f>
        <v>0</v>
      </c>
    </row>
    <row r="2600" spans="1:7" s="1088" customFormat="1" ht="14.25" x14ac:dyDescent="0.2">
      <c r="A2600" s="209"/>
      <c r="B2600" s="245"/>
      <c r="C2600" s="265"/>
      <c r="D2600" s="246"/>
      <c r="E2600" s="265"/>
      <c r="F2600" s="266"/>
      <c r="G2600" s="267"/>
    </row>
    <row r="2601" spans="1:7" s="1088" customFormat="1" ht="14.25" x14ac:dyDescent="0.2">
      <c r="A2601" s="249"/>
      <c r="B2601" s="250"/>
      <c r="C2601" s="252"/>
      <c r="D2601" s="251"/>
      <c r="E2601" s="252"/>
      <c r="F2601" s="254"/>
      <c r="G2601" s="268"/>
    </row>
    <row r="2602" spans="1:7" s="1088" customFormat="1" ht="15" x14ac:dyDescent="0.25">
      <c r="A2602" s="209"/>
      <c r="B2602" s="212"/>
      <c r="C2602" s="211"/>
      <c r="D2602" s="212"/>
      <c r="E2602" s="269"/>
      <c r="F2602" s="269" t="s">
        <v>121</v>
      </c>
      <c r="G2602" s="270">
        <f>+SUM(G2598:G2601)</f>
        <v>674.13279999999997</v>
      </c>
    </row>
    <row r="2603" spans="1:7" s="1088" customFormat="1" ht="15" x14ac:dyDescent="0.25">
      <c r="A2603" s="209"/>
      <c r="B2603" s="212"/>
      <c r="C2603" s="211"/>
      <c r="D2603" s="212"/>
      <c r="E2603" s="257"/>
      <c r="F2603" s="257"/>
      <c r="G2603" s="271"/>
    </row>
    <row r="2604" spans="1:7" s="1088" customFormat="1" ht="15" x14ac:dyDescent="0.25">
      <c r="A2604" s="216" t="s">
        <v>135</v>
      </c>
      <c r="B2604" s="212"/>
      <c r="C2604" s="211"/>
      <c r="D2604" s="212"/>
      <c r="E2604" s="213"/>
      <c r="F2604" s="214"/>
      <c r="G2604" s="215"/>
    </row>
    <row r="2605" spans="1:7" s="1088" customFormat="1" ht="14.25" x14ac:dyDescent="0.2">
      <c r="A2605" s="209"/>
      <c r="B2605" s="212"/>
      <c r="C2605" s="211"/>
      <c r="D2605" s="212"/>
      <c r="E2605" s="213"/>
      <c r="F2605" s="214"/>
      <c r="G2605" s="215"/>
    </row>
    <row r="2606" spans="1:7" s="1088" customFormat="1" ht="15" x14ac:dyDescent="0.25">
      <c r="A2606" s="1071" t="s">
        <v>116</v>
      </c>
      <c r="B2606" s="1072"/>
      <c r="C2606" s="236" t="s">
        <v>117</v>
      </c>
      <c r="D2606" s="235" t="s">
        <v>136</v>
      </c>
      <c r="E2606" s="236" t="s">
        <v>124</v>
      </c>
      <c r="F2606" s="237" t="s">
        <v>126</v>
      </c>
      <c r="G2606" s="238" t="s">
        <v>134</v>
      </c>
    </row>
    <row r="2607" spans="1:7" s="1088" customFormat="1" ht="14.25" x14ac:dyDescent="0.2">
      <c r="A2607" s="209" t="s">
        <v>175</v>
      </c>
      <c r="B2607" s="286"/>
      <c r="C2607" s="287" t="s">
        <v>79</v>
      </c>
      <c r="D2607" s="261"/>
      <c r="E2607" s="276">
        <v>68000</v>
      </c>
      <c r="F2607" s="222">
        <f>1/60</f>
        <v>1.6666666666666666E-2</v>
      </c>
      <c r="G2607" s="224">
        <f>F2607*E2607</f>
        <v>1133.3333333333333</v>
      </c>
    </row>
    <row r="2608" spans="1:7" s="1088" customFormat="1" ht="14.25" x14ac:dyDescent="0.2">
      <c r="A2608" s="209"/>
      <c r="B2608" s="275"/>
      <c r="C2608" s="260"/>
      <c r="D2608" s="261"/>
      <c r="E2608" s="276"/>
      <c r="F2608" s="222"/>
      <c r="G2608" s="224"/>
    </row>
    <row r="2609" spans="1:8" s="1088" customFormat="1" ht="14.25" x14ac:dyDescent="0.2">
      <c r="A2609" s="209"/>
      <c r="B2609" s="259"/>
      <c r="C2609" s="260"/>
      <c r="D2609" s="261"/>
      <c r="E2609" s="276"/>
      <c r="F2609" s="222"/>
      <c r="G2609" s="224"/>
    </row>
    <row r="2610" spans="1:8" s="1088" customFormat="1" ht="14.25" x14ac:dyDescent="0.2">
      <c r="A2610" s="209"/>
      <c r="B2610" s="259"/>
      <c r="C2610" s="260"/>
      <c r="D2610" s="261"/>
      <c r="E2610" s="276"/>
      <c r="F2610" s="222"/>
      <c r="G2610" s="224"/>
    </row>
    <row r="2611" spans="1:8" s="1088" customFormat="1" ht="14.25" x14ac:dyDescent="0.2">
      <c r="A2611" s="209"/>
      <c r="B2611" s="245"/>
      <c r="C2611" s="265"/>
      <c r="D2611" s="246"/>
      <c r="E2611" s="265"/>
      <c r="F2611" s="266"/>
      <c r="G2611" s="267"/>
    </row>
    <row r="2612" spans="1:8" s="1088" customFormat="1" ht="14.25" x14ac:dyDescent="0.2">
      <c r="A2612" s="249"/>
      <c r="B2612" s="250"/>
      <c r="C2612" s="252"/>
      <c r="D2612" s="251"/>
      <c r="E2612" s="252"/>
      <c r="F2612" s="254"/>
      <c r="G2612" s="268"/>
    </row>
    <row r="2613" spans="1:8" s="1088" customFormat="1" ht="15" x14ac:dyDescent="0.25">
      <c r="A2613" s="209"/>
      <c r="B2613" s="212"/>
      <c r="C2613" s="211"/>
      <c r="D2613" s="212"/>
      <c r="E2613" s="269"/>
      <c r="F2613" s="269" t="s">
        <v>121</v>
      </c>
      <c r="G2613" s="270">
        <f>+SUM(G2607:G2612)</f>
        <v>1133.3333333333333</v>
      </c>
    </row>
    <row r="2614" spans="1:8" s="1088" customFormat="1" ht="14.25" x14ac:dyDescent="0.2">
      <c r="A2614" s="209"/>
      <c r="B2614" s="212"/>
      <c r="C2614" s="211"/>
      <c r="D2614" s="212"/>
      <c r="E2614" s="213"/>
      <c r="F2614" s="214"/>
      <c r="G2614" s="271"/>
    </row>
    <row r="2615" spans="1:8" s="1088" customFormat="1" ht="15" x14ac:dyDescent="0.25">
      <c r="A2615" s="277"/>
      <c r="B2615" s="278"/>
      <c r="C2615" s="278"/>
      <c r="D2615" s="278"/>
      <c r="E2615" s="279"/>
      <c r="F2615" s="280" t="s">
        <v>137</v>
      </c>
      <c r="G2615" s="283">
        <f>+ROUND(G2583+G2593+G2602+G2613,0)</f>
        <v>1841</v>
      </c>
    </row>
    <row r="2616" spans="1:8" ht="15" x14ac:dyDescent="0.25">
      <c r="A2616" s="58"/>
      <c r="B2616" s="54"/>
      <c r="C2616" s="54"/>
      <c r="D2616" s="54"/>
      <c r="E2616" s="55"/>
      <c r="F2616" s="103"/>
      <c r="G2616" s="291"/>
      <c r="H2616" s="134"/>
    </row>
    <row r="2617" spans="1:8" s="1088" customFormat="1" ht="15" x14ac:dyDescent="0.25">
      <c r="A2617" s="145" t="s">
        <v>160</v>
      </c>
      <c r="B2617" s="1262" t="s">
        <v>161</v>
      </c>
      <c r="C2617" s="1263"/>
      <c r="D2617" s="1263"/>
      <c r="E2617" s="1263"/>
      <c r="F2617" s="1264"/>
      <c r="G2617" s="146" t="s">
        <v>2</v>
      </c>
    </row>
    <row r="2618" spans="1:8" s="1088" customFormat="1" ht="15" x14ac:dyDescent="0.25">
      <c r="A2618" s="1050">
        <f>'FORMATO PROPUESTA ECONÓMICA'!A79</f>
        <v>8.1</v>
      </c>
      <c r="B2618" s="1265" t="str">
        <f>'FORMATO PROPUESTA ECONÓMICA'!B79</f>
        <v>Union dreseer 3" transicion PEAD-PVC</v>
      </c>
      <c r="C2618" s="1266"/>
      <c r="D2618" s="1266"/>
      <c r="E2618" s="1266"/>
      <c r="F2618" s="1267"/>
      <c r="G2618" s="187" t="str">
        <f>'FORMATO PROPUESTA ECONÓMICA'!C79</f>
        <v>und</v>
      </c>
    </row>
    <row r="2619" spans="1:8" s="1088" customFormat="1" ht="14.25" x14ac:dyDescent="0.2">
      <c r="A2619" s="209"/>
      <c r="B2619" s="210"/>
      <c r="C2619" s="211"/>
      <c r="D2619" s="212"/>
      <c r="E2619" s="213"/>
      <c r="F2619" s="214"/>
      <c r="G2619" s="215"/>
    </row>
    <row r="2620" spans="1:8" s="1088" customFormat="1" ht="15" x14ac:dyDescent="0.25">
      <c r="A2620" s="216" t="s">
        <v>115</v>
      </c>
      <c r="B2620" s="212"/>
      <c r="C2620" s="211"/>
      <c r="D2620" s="212"/>
      <c r="E2620" s="213"/>
      <c r="F2620" s="214"/>
      <c r="G2620" s="215"/>
    </row>
    <row r="2621" spans="1:8" s="1088" customFormat="1" ht="14.25" x14ac:dyDescent="0.2">
      <c r="A2621" s="209"/>
      <c r="B2621" s="212"/>
      <c r="C2621" s="211"/>
      <c r="D2621" s="212"/>
      <c r="E2621" s="213"/>
      <c r="F2621" s="214"/>
      <c r="G2621" s="215"/>
    </row>
    <row r="2622" spans="1:8" s="1088" customFormat="1" ht="15" x14ac:dyDescent="0.25">
      <c r="A2622" s="1075" t="s">
        <v>116</v>
      </c>
      <c r="B2622" s="1076"/>
      <c r="C2622" s="217" t="s">
        <v>117</v>
      </c>
      <c r="D2622" s="1075" t="s">
        <v>118</v>
      </c>
      <c r="E2622" s="218" t="s">
        <v>39</v>
      </c>
      <c r="F2622" s="237" t="s">
        <v>126</v>
      </c>
      <c r="G2622" s="219" t="s">
        <v>120</v>
      </c>
    </row>
    <row r="2623" spans="1:8" s="1088" customFormat="1" ht="15" customHeight="1" x14ac:dyDescent="0.2">
      <c r="A2623" s="209"/>
      <c r="B2623" s="286"/>
      <c r="C2623" s="220"/>
      <c r="D2623" s="261"/>
      <c r="E2623" s="276"/>
      <c r="F2623" s="222"/>
      <c r="G2623" s="224"/>
    </row>
    <row r="2624" spans="1:8" s="1088" customFormat="1" ht="14.25" x14ac:dyDescent="0.2">
      <c r="A2624" s="1060"/>
      <c r="B2624" s="1068"/>
      <c r="C2624" s="225"/>
      <c r="D2624" s="221"/>
      <c r="E2624" s="226"/>
      <c r="F2624" s="227"/>
      <c r="G2624" s="228">
        <f>D2624*E2624</f>
        <v>0</v>
      </c>
    </row>
    <row r="2625" spans="1:7" s="1088" customFormat="1" ht="14.25" x14ac:dyDescent="0.2">
      <c r="A2625" s="1060"/>
      <c r="B2625" s="1068"/>
      <c r="C2625" s="229"/>
      <c r="D2625" s="221"/>
      <c r="E2625" s="226"/>
      <c r="F2625" s="227"/>
      <c r="G2625" s="228">
        <f>D2625*E2625</f>
        <v>0</v>
      </c>
    </row>
    <row r="2626" spans="1:7" s="1088" customFormat="1" ht="14.25" x14ac:dyDescent="0.2">
      <c r="A2626" s="1060"/>
      <c r="B2626" s="1068"/>
      <c r="C2626" s="225"/>
      <c r="D2626" s="221"/>
      <c r="E2626" s="226"/>
      <c r="F2626" s="227"/>
      <c r="G2626" s="228">
        <f>D2626*E2626</f>
        <v>0</v>
      </c>
    </row>
    <row r="2627" spans="1:7" s="1088" customFormat="1" ht="14.25" x14ac:dyDescent="0.2">
      <c r="A2627" s="1069"/>
      <c r="B2627" s="1070"/>
      <c r="C2627" s="230"/>
      <c r="D2627" s="231"/>
      <c r="E2627" s="232"/>
      <c r="F2627" s="233"/>
      <c r="G2627" s="228">
        <f>D2627*E2627</f>
        <v>0</v>
      </c>
    </row>
    <row r="2628" spans="1:7" s="1088" customFormat="1" ht="15" x14ac:dyDescent="0.25">
      <c r="A2628" s="1073"/>
      <c r="B2628" s="210"/>
      <c r="C2628" s="211"/>
      <c r="D2628" s="212"/>
      <c r="E2628" s="212"/>
      <c r="F2628" s="234" t="s">
        <v>121</v>
      </c>
      <c r="G2628" s="231">
        <f>+SUM(G2623:G2627)</f>
        <v>0</v>
      </c>
    </row>
    <row r="2629" spans="1:7" s="1088" customFormat="1" ht="14.25" x14ac:dyDescent="0.2">
      <c r="A2629" s="209"/>
      <c r="B2629" s="212"/>
      <c r="C2629" s="211" t="s">
        <v>123</v>
      </c>
      <c r="D2629" s="212"/>
      <c r="E2629" s="213"/>
      <c r="F2629" s="214"/>
      <c r="G2629" s="215"/>
    </row>
    <row r="2630" spans="1:7" s="1088" customFormat="1" ht="15" x14ac:dyDescent="0.25">
      <c r="A2630" s="216" t="s">
        <v>122</v>
      </c>
      <c r="B2630" s="212"/>
      <c r="C2630" s="211" t="s">
        <v>123</v>
      </c>
      <c r="D2630" s="212"/>
      <c r="E2630" s="213"/>
      <c r="F2630" s="214"/>
      <c r="G2630" s="215"/>
    </row>
    <row r="2631" spans="1:7" s="1088" customFormat="1" ht="14.25" x14ac:dyDescent="0.2">
      <c r="A2631" s="209"/>
      <c r="B2631" s="212"/>
      <c r="C2631" s="211"/>
      <c r="D2631" s="212"/>
      <c r="E2631" s="213"/>
      <c r="F2631" s="214"/>
      <c r="G2631" s="215"/>
    </row>
    <row r="2632" spans="1:7" s="1088" customFormat="1" ht="15" x14ac:dyDescent="0.25">
      <c r="A2632" s="1071" t="s">
        <v>116</v>
      </c>
      <c r="B2632" s="1072"/>
      <c r="C2632" s="235" t="s">
        <v>117</v>
      </c>
      <c r="D2632" s="236" t="s">
        <v>124</v>
      </c>
      <c r="E2632" s="236" t="s">
        <v>125</v>
      </c>
      <c r="F2632" s="237" t="s">
        <v>126</v>
      </c>
      <c r="G2632" s="238" t="s">
        <v>120</v>
      </c>
    </row>
    <row r="2633" spans="1:7" s="1088" customFormat="1" ht="28.5" x14ac:dyDescent="0.2">
      <c r="A2633" s="1066" t="s">
        <v>127</v>
      </c>
      <c r="B2633" s="1067"/>
      <c r="C2633" s="239" t="s">
        <v>128</v>
      </c>
      <c r="D2633" s="240"/>
      <c r="E2633" s="241"/>
      <c r="F2633" s="222"/>
      <c r="G2633" s="242">
        <f>G2647*0.05</f>
        <v>1108.4796800000001</v>
      </c>
    </row>
    <row r="2634" spans="1:7" s="1088" customFormat="1" ht="14.25" x14ac:dyDescent="0.2">
      <c r="A2634" s="1256" t="str">
        <f>B2618</f>
        <v>Union dreseer 3" transicion PEAD-PVC</v>
      </c>
      <c r="B2634" s="1257"/>
      <c r="C2634" s="220" t="s">
        <v>79</v>
      </c>
      <c r="D2634" s="261">
        <f>75000*1.16</f>
        <v>87000</v>
      </c>
      <c r="E2634" s="289">
        <v>1</v>
      </c>
      <c r="F2634" s="290">
        <v>1</v>
      </c>
      <c r="G2634" s="242">
        <f>D2634*F2634</f>
        <v>87000</v>
      </c>
    </row>
    <row r="2635" spans="1:7" s="1088" customFormat="1" ht="14.25" x14ac:dyDescent="0.2">
      <c r="A2635" s="1073"/>
      <c r="B2635" s="1074"/>
      <c r="C2635" s="243"/>
      <c r="D2635" s="221"/>
      <c r="E2635" s="244"/>
      <c r="F2635" s="222"/>
      <c r="G2635" s="224"/>
    </row>
    <row r="2636" spans="1:7" s="1088" customFormat="1" ht="14.25" x14ac:dyDescent="0.2">
      <c r="A2636" s="209"/>
      <c r="B2636" s="245"/>
      <c r="C2636" s="246"/>
      <c r="D2636" s="221"/>
      <c r="E2636" s="247"/>
      <c r="F2636" s="222"/>
      <c r="G2636" s="248"/>
    </row>
    <row r="2637" spans="1:7" s="1088" customFormat="1" ht="14.25" x14ac:dyDescent="0.2">
      <c r="A2637" s="249"/>
      <c r="B2637" s="250"/>
      <c r="C2637" s="251"/>
      <c r="D2637" s="252"/>
      <c r="E2637" s="253"/>
      <c r="F2637" s="254"/>
      <c r="G2637" s="255"/>
    </row>
    <row r="2638" spans="1:7" s="1088" customFormat="1" ht="15" x14ac:dyDescent="0.25">
      <c r="A2638" s="209"/>
      <c r="B2638" s="214"/>
      <c r="C2638" s="256"/>
      <c r="D2638" s="214"/>
      <c r="E2638" s="212"/>
      <c r="F2638" s="257" t="s">
        <v>121</v>
      </c>
      <c r="G2638" s="258">
        <f>+SUM(G2633:G2637)</f>
        <v>88108.479680000004</v>
      </c>
    </row>
    <row r="2639" spans="1:7" s="1088" customFormat="1" ht="14.25" customHeight="1" x14ac:dyDescent="0.2">
      <c r="A2639" s="209"/>
      <c r="B2639" s="212"/>
      <c r="C2639" s="211"/>
      <c r="D2639" s="212"/>
      <c r="E2639" s="213"/>
      <c r="F2639" s="212"/>
      <c r="G2639" s="215"/>
    </row>
    <row r="2640" spans="1:7" s="1088" customFormat="1" ht="15" x14ac:dyDescent="0.25">
      <c r="A2640" s="216" t="s">
        <v>130</v>
      </c>
      <c r="B2640" s="212"/>
      <c r="C2640" s="211"/>
      <c r="D2640" s="212"/>
      <c r="E2640" s="213"/>
      <c r="F2640" s="214"/>
      <c r="G2640" s="215"/>
    </row>
    <row r="2641" spans="1:7" s="1088" customFormat="1" ht="14.25" x14ac:dyDescent="0.2">
      <c r="A2641" s="209"/>
      <c r="B2641" s="212"/>
      <c r="C2641" s="211"/>
      <c r="D2641" s="212"/>
      <c r="E2641" s="213"/>
      <c r="F2641" s="214"/>
      <c r="G2641" s="215"/>
    </row>
    <row r="2642" spans="1:7" s="1088" customFormat="1" ht="15" x14ac:dyDescent="0.25">
      <c r="A2642" s="1071" t="s">
        <v>116</v>
      </c>
      <c r="B2642" s="1072"/>
      <c r="C2642" s="236" t="s">
        <v>131</v>
      </c>
      <c r="D2642" s="235" t="s">
        <v>132</v>
      </c>
      <c r="E2642" s="236" t="s">
        <v>133</v>
      </c>
      <c r="F2642" s="237" t="s">
        <v>126</v>
      </c>
      <c r="G2642" s="238" t="s">
        <v>134</v>
      </c>
    </row>
    <row r="2643" spans="1:7" s="1088" customFormat="1" ht="14.25" x14ac:dyDescent="0.2">
      <c r="A2643" s="209" t="s">
        <v>10</v>
      </c>
      <c r="B2643" s="259"/>
      <c r="C2643" s="260">
        <f>M2</f>
        <v>22981.8</v>
      </c>
      <c r="D2643" s="261">
        <f>N2</f>
        <v>1.76</v>
      </c>
      <c r="E2643" s="276">
        <f>C2643*D2643</f>
        <v>40447.968000000001</v>
      </c>
      <c r="F2643" s="222">
        <f>1/5</f>
        <v>0.2</v>
      </c>
      <c r="G2643" s="224">
        <f>F2643*E2643</f>
        <v>8089.5936000000002</v>
      </c>
    </row>
    <row r="2644" spans="1:7" s="1088" customFormat="1" ht="14.25" x14ac:dyDescent="0.2">
      <c r="A2644" s="209" t="s">
        <v>140</v>
      </c>
      <c r="B2644" s="259"/>
      <c r="C2644" s="260">
        <f>M3</f>
        <v>40000</v>
      </c>
      <c r="D2644" s="261">
        <f>N3</f>
        <v>1.76</v>
      </c>
      <c r="E2644" s="276">
        <f>C2644*D2644</f>
        <v>70400</v>
      </c>
      <c r="F2644" s="222">
        <f>1/5</f>
        <v>0.2</v>
      </c>
      <c r="G2644" s="224">
        <f>F2644*E2644</f>
        <v>14080</v>
      </c>
    </row>
    <row r="2645" spans="1:7" s="1088" customFormat="1" ht="14.25" x14ac:dyDescent="0.2">
      <c r="A2645" s="209"/>
      <c r="B2645" s="245"/>
      <c r="C2645" s="265"/>
      <c r="D2645" s="246"/>
      <c r="E2645" s="265"/>
      <c r="F2645" s="266"/>
      <c r="G2645" s="267"/>
    </row>
    <row r="2646" spans="1:7" s="1088" customFormat="1" ht="14.25" x14ac:dyDescent="0.2">
      <c r="A2646" s="249"/>
      <c r="B2646" s="250"/>
      <c r="C2646" s="252"/>
      <c r="D2646" s="251"/>
      <c r="E2646" s="252"/>
      <c r="F2646" s="254"/>
      <c r="G2646" s="268"/>
    </row>
    <row r="2647" spans="1:7" s="1088" customFormat="1" ht="15" x14ac:dyDescent="0.25">
      <c r="A2647" s="209"/>
      <c r="B2647" s="212"/>
      <c r="C2647" s="211"/>
      <c r="D2647" s="212"/>
      <c r="E2647" s="269"/>
      <c r="F2647" s="269" t="s">
        <v>121</v>
      </c>
      <c r="G2647" s="270">
        <f>+SUM(G2643:G2646)</f>
        <v>22169.5936</v>
      </c>
    </row>
    <row r="2648" spans="1:7" s="1088" customFormat="1" ht="15" x14ac:dyDescent="0.25">
      <c r="A2648" s="209"/>
      <c r="B2648" s="212"/>
      <c r="C2648" s="211"/>
      <c r="D2648" s="212"/>
      <c r="E2648" s="257"/>
      <c r="F2648" s="257"/>
      <c r="G2648" s="271"/>
    </row>
    <row r="2649" spans="1:7" s="1088" customFormat="1" ht="15" x14ac:dyDescent="0.25">
      <c r="A2649" s="216" t="s">
        <v>135</v>
      </c>
      <c r="B2649" s="212"/>
      <c r="C2649" s="211"/>
      <c r="D2649" s="212"/>
      <c r="E2649" s="213"/>
      <c r="F2649" s="214"/>
      <c r="G2649" s="215"/>
    </row>
    <row r="2650" spans="1:7" s="1088" customFormat="1" ht="14.25" x14ac:dyDescent="0.2">
      <c r="A2650" s="209"/>
      <c r="B2650" s="212"/>
      <c r="C2650" s="211"/>
      <c r="D2650" s="212"/>
      <c r="E2650" s="213"/>
      <c r="F2650" s="214"/>
      <c r="G2650" s="215"/>
    </row>
    <row r="2651" spans="1:7" s="1088" customFormat="1" ht="15" x14ac:dyDescent="0.25">
      <c r="A2651" s="1071" t="s">
        <v>116</v>
      </c>
      <c r="B2651" s="1072"/>
      <c r="C2651" s="236" t="s">
        <v>117</v>
      </c>
      <c r="D2651" s="235" t="s">
        <v>136</v>
      </c>
      <c r="E2651" s="236" t="s">
        <v>124</v>
      </c>
      <c r="F2651" s="237" t="s">
        <v>126</v>
      </c>
      <c r="G2651" s="238" t="s">
        <v>134</v>
      </c>
    </row>
    <row r="2652" spans="1:7" s="1088" customFormat="1" ht="14.25" x14ac:dyDescent="0.2">
      <c r="A2652" s="209" t="s">
        <v>175</v>
      </c>
      <c r="B2652" s="286"/>
      <c r="C2652" s="287" t="s">
        <v>79</v>
      </c>
      <c r="D2652" s="261"/>
      <c r="E2652" s="276">
        <v>68000</v>
      </c>
      <c r="F2652" s="222">
        <f>1/5</f>
        <v>0.2</v>
      </c>
      <c r="G2652" s="224">
        <f>F2652*E2652</f>
        <v>13600</v>
      </c>
    </row>
    <row r="2653" spans="1:7" s="1088" customFormat="1" ht="14.25" x14ac:dyDescent="0.2">
      <c r="A2653" s="209"/>
      <c r="B2653" s="275"/>
      <c r="C2653" s="260"/>
      <c r="D2653" s="261"/>
      <c r="E2653" s="276"/>
      <c r="F2653" s="222"/>
      <c r="G2653" s="224"/>
    </row>
    <row r="2654" spans="1:7" s="1088" customFormat="1" ht="14.25" x14ac:dyDescent="0.2">
      <c r="A2654" s="209"/>
      <c r="B2654" s="259"/>
      <c r="C2654" s="260"/>
      <c r="D2654" s="261"/>
      <c r="E2654" s="276"/>
      <c r="F2654" s="222"/>
      <c r="G2654" s="224"/>
    </row>
    <row r="2655" spans="1:7" s="1088" customFormat="1" ht="14.25" x14ac:dyDescent="0.2">
      <c r="A2655" s="209"/>
      <c r="B2655" s="259"/>
      <c r="C2655" s="260"/>
      <c r="D2655" s="261"/>
      <c r="E2655" s="276"/>
      <c r="F2655" s="222"/>
      <c r="G2655" s="224"/>
    </row>
    <row r="2656" spans="1:7" s="1088" customFormat="1" ht="14.25" x14ac:dyDescent="0.2">
      <c r="A2656" s="209"/>
      <c r="B2656" s="245"/>
      <c r="C2656" s="265"/>
      <c r="D2656" s="246"/>
      <c r="E2656" s="265"/>
      <c r="F2656" s="266"/>
      <c r="G2656" s="267"/>
    </row>
    <row r="2657" spans="1:8" s="1088" customFormat="1" ht="14.25" x14ac:dyDescent="0.2">
      <c r="A2657" s="249"/>
      <c r="B2657" s="250"/>
      <c r="C2657" s="252"/>
      <c r="D2657" s="251"/>
      <c r="E2657" s="252"/>
      <c r="F2657" s="254"/>
      <c r="G2657" s="268"/>
    </row>
    <row r="2658" spans="1:8" s="1088" customFormat="1" ht="15" x14ac:dyDescent="0.25">
      <c r="A2658" s="209"/>
      <c r="B2658" s="212"/>
      <c r="C2658" s="211"/>
      <c r="D2658" s="212"/>
      <c r="E2658" s="269"/>
      <c r="F2658" s="269" t="s">
        <v>121</v>
      </c>
      <c r="G2658" s="270">
        <f>+SUM(G2652:G2657)</f>
        <v>13600</v>
      </c>
    </row>
    <row r="2659" spans="1:8" s="1088" customFormat="1" ht="14.25" x14ac:dyDescent="0.2">
      <c r="A2659" s="209"/>
      <c r="B2659" s="212"/>
      <c r="C2659" s="211"/>
      <c r="D2659" s="212"/>
      <c r="E2659" s="213"/>
      <c r="F2659" s="214"/>
      <c r="G2659" s="271"/>
    </row>
    <row r="2660" spans="1:8" s="1088" customFormat="1" ht="15" x14ac:dyDescent="0.25">
      <c r="A2660" s="277"/>
      <c r="B2660" s="278"/>
      <c r="C2660" s="278"/>
      <c r="D2660" s="278"/>
      <c r="E2660" s="279"/>
      <c r="F2660" s="280" t="s">
        <v>137</v>
      </c>
      <c r="G2660" s="283">
        <f>+ROUND(G2628+G2638+G2647+G2658,0)</f>
        <v>123878</v>
      </c>
    </row>
    <row r="2661" spans="1:8" ht="15" x14ac:dyDescent="0.25">
      <c r="A2661" s="58"/>
      <c r="B2661" s="54"/>
      <c r="C2661" s="54"/>
      <c r="D2661" s="54"/>
      <c r="E2661" s="55"/>
      <c r="F2661" s="103"/>
      <c r="G2661" s="291"/>
      <c r="H2661" s="134"/>
    </row>
    <row r="2662" spans="1:8" s="1088" customFormat="1" ht="15" x14ac:dyDescent="0.25">
      <c r="A2662" s="145" t="s">
        <v>160</v>
      </c>
      <c r="B2662" s="1262" t="s">
        <v>161</v>
      </c>
      <c r="C2662" s="1263"/>
      <c r="D2662" s="1263"/>
      <c r="E2662" s="1263"/>
      <c r="F2662" s="1264"/>
      <c r="G2662" s="146" t="s">
        <v>2</v>
      </c>
    </row>
    <row r="2663" spans="1:8" s="1088" customFormat="1" ht="15" x14ac:dyDescent="0.25">
      <c r="A2663" s="1050">
        <f>'FORMATO PROPUESTA ECONÓMICA'!A80</f>
        <v>8.1999999999999993</v>
      </c>
      <c r="B2663" s="1265" t="str">
        <f>'FORMATO PROPUESTA ECONÓMICA'!B80</f>
        <v>Union dreseer 4" transicion PEAD-PVC</v>
      </c>
      <c r="C2663" s="1266"/>
      <c r="D2663" s="1266"/>
      <c r="E2663" s="1266"/>
      <c r="F2663" s="1267"/>
      <c r="G2663" s="187" t="str">
        <f>'FORMATO PROPUESTA ECONÓMICA'!C80</f>
        <v>und</v>
      </c>
    </row>
    <row r="2664" spans="1:8" s="1088" customFormat="1" ht="14.25" x14ac:dyDescent="0.2">
      <c r="A2664" s="209"/>
      <c r="B2664" s="210"/>
      <c r="C2664" s="211"/>
      <c r="D2664" s="212"/>
      <c r="E2664" s="213"/>
      <c r="F2664" s="214"/>
      <c r="G2664" s="215"/>
    </row>
    <row r="2665" spans="1:8" s="1088" customFormat="1" ht="15" x14ac:dyDescent="0.25">
      <c r="A2665" s="216" t="s">
        <v>115</v>
      </c>
      <c r="B2665" s="212"/>
      <c r="C2665" s="211"/>
      <c r="D2665" s="212"/>
      <c r="E2665" s="213"/>
      <c r="F2665" s="214"/>
      <c r="G2665" s="215"/>
    </row>
    <row r="2666" spans="1:8" s="1088" customFormat="1" ht="14.25" x14ac:dyDescent="0.2">
      <c r="A2666" s="209"/>
      <c r="B2666" s="212"/>
      <c r="C2666" s="211"/>
      <c r="D2666" s="212"/>
      <c r="E2666" s="213"/>
      <c r="F2666" s="214"/>
      <c r="G2666" s="215"/>
    </row>
    <row r="2667" spans="1:8" s="1088" customFormat="1" ht="15" x14ac:dyDescent="0.25">
      <c r="A2667" s="1075" t="s">
        <v>116</v>
      </c>
      <c r="B2667" s="1076"/>
      <c r="C2667" s="217" t="s">
        <v>117</v>
      </c>
      <c r="D2667" s="1075" t="s">
        <v>118</v>
      </c>
      <c r="E2667" s="218" t="s">
        <v>39</v>
      </c>
      <c r="F2667" s="237" t="s">
        <v>126</v>
      </c>
      <c r="G2667" s="219" t="s">
        <v>120</v>
      </c>
    </row>
    <row r="2668" spans="1:8" s="1088" customFormat="1" ht="15" customHeight="1" x14ac:dyDescent="0.2">
      <c r="A2668" s="209"/>
      <c r="B2668" s="286"/>
      <c r="C2668" s="220"/>
      <c r="D2668" s="261"/>
      <c r="E2668" s="276"/>
      <c r="F2668" s="222"/>
      <c r="G2668" s="224"/>
    </row>
    <row r="2669" spans="1:8" s="1088" customFormat="1" ht="14.25" x14ac:dyDescent="0.2">
      <c r="A2669" s="1060"/>
      <c r="B2669" s="1068"/>
      <c r="C2669" s="225"/>
      <c r="D2669" s="221"/>
      <c r="E2669" s="226"/>
      <c r="F2669" s="227"/>
      <c r="G2669" s="228">
        <f>D2669*E2669</f>
        <v>0</v>
      </c>
    </row>
    <row r="2670" spans="1:8" s="1088" customFormat="1" ht="14.25" x14ac:dyDescent="0.2">
      <c r="A2670" s="1060"/>
      <c r="B2670" s="1068"/>
      <c r="C2670" s="229"/>
      <c r="D2670" s="221"/>
      <c r="E2670" s="226"/>
      <c r="F2670" s="227"/>
      <c r="G2670" s="228">
        <f>D2670*E2670</f>
        <v>0</v>
      </c>
    </row>
    <row r="2671" spans="1:8" s="1088" customFormat="1" ht="14.25" x14ac:dyDescent="0.2">
      <c r="A2671" s="1060"/>
      <c r="B2671" s="1068"/>
      <c r="C2671" s="225"/>
      <c r="D2671" s="221"/>
      <c r="E2671" s="226"/>
      <c r="F2671" s="227"/>
      <c r="G2671" s="228">
        <f>D2671*E2671</f>
        <v>0</v>
      </c>
    </row>
    <row r="2672" spans="1:8" s="1088" customFormat="1" ht="14.25" x14ac:dyDescent="0.2">
      <c r="A2672" s="1069"/>
      <c r="B2672" s="1070"/>
      <c r="C2672" s="230"/>
      <c r="D2672" s="231"/>
      <c r="E2672" s="232"/>
      <c r="F2672" s="233"/>
      <c r="G2672" s="228">
        <f>D2672*E2672</f>
        <v>0</v>
      </c>
    </row>
    <row r="2673" spans="1:7" s="1088" customFormat="1" ht="15" x14ac:dyDescent="0.25">
      <c r="A2673" s="1073"/>
      <c r="B2673" s="210"/>
      <c r="C2673" s="211"/>
      <c r="D2673" s="212"/>
      <c r="E2673" s="212"/>
      <c r="F2673" s="234" t="s">
        <v>121</v>
      </c>
      <c r="G2673" s="231">
        <f>+SUM(G2668:G2672)</f>
        <v>0</v>
      </c>
    </row>
    <row r="2674" spans="1:7" s="1088" customFormat="1" ht="14.25" x14ac:dyDescent="0.2">
      <c r="A2674" s="209"/>
      <c r="B2674" s="212"/>
      <c r="C2674" s="211" t="s">
        <v>123</v>
      </c>
      <c r="D2674" s="212"/>
      <c r="E2674" s="213"/>
      <c r="F2674" s="214"/>
      <c r="G2674" s="215"/>
    </row>
    <row r="2675" spans="1:7" s="1088" customFormat="1" ht="15" x14ac:dyDescent="0.25">
      <c r="A2675" s="216" t="s">
        <v>122</v>
      </c>
      <c r="B2675" s="212"/>
      <c r="C2675" s="211" t="s">
        <v>123</v>
      </c>
      <c r="D2675" s="212"/>
      <c r="E2675" s="213"/>
      <c r="F2675" s="214"/>
      <c r="G2675" s="215"/>
    </row>
    <row r="2676" spans="1:7" s="1088" customFormat="1" ht="14.25" x14ac:dyDescent="0.2">
      <c r="A2676" s="209"/>
      <c r="B2676" s="212"/>
      <c r="C2676" s="211"/>
      <c r="D2676" s="212"/>
      <c r="E2676" s="213"/>
      <c r="F2676" s="214"/>
      <c r="G2676" s="215"/>
    </row>
    <row r="2677" spans="1:7" s="1088" customFormat="1" ht="15" x14ac:dyDescent="0.25">
      <c r="A2677" s="1071" t="s">
        <v>116</v>
      </c>
      <c r="B2677" s="1072"/>
      <c r="C2677" s="235" t="s">
        <v>117</v>
      </c>
      <c r="D2677" s="236" t="s">
        <v>124</v>
      </c>
      <c r="E2677" s="236" t="s">
        <v>125</v>
      </c>
      <c r="F2677" s="237" t="s">
        <v>126</v>
      </c>
      <c r="G2677" s="238" t="s">
        <v>120</v>
      </c>
    </row>
    <row r="2678" spans="1:7" s="1088" customFormat="1" ht="28.5" x14ac:dyDescent="0.2">
      <c r="A2678" s="1066" t="s">
        <v>127</v>
      </c>
      <c r="B2678" s="1067"/>
      <c r="C2678" s="239" t="s">
        <v>128</v>
      </c>
      <c r="D2678" s="240"/>
      <c r="E2678" s="241"/>
      <c r="F2678" s="222"/>
      <c r="G2678" s="242">
        <f>G2692*0.05</f>
        <v>1108.4796800000001</v>
      </c>
    </row>
    <row r="2679" spans="1:7" s="1088" customFormat="1" ht="14.25" x14ac:dyDescent="0.2">
      <c r="A2679" s="1256" t="str">
        <f>B2663</f>
        <v>Union dreseer 4" transicion PEAD-PVC</v>
      </c>
      <c r="B2679" s="1257"/>
      <c r="C2679" s="220" t="s">
        <v>79</v>
      </c>
      <c r="D2679" s="261">
        <f>88000*1.16</f>
        <v>102080</v>
      </c>
      <c r="E2679" s="289">
        <v>1</v>
      </c>
      <c r="F2679" s="290">
        <v>1</v>
      </c>
      <c r="G2679" s="242">
        <f>D2679*F2679</f>
        <v>102080</v>
      </c>
    </row>
    <row r="2680" spans="1:7" s="1088" customFormat="1" ht="14.25" x14ac:dyDescent="0.2">
      <c r="A2680" s="1073"/>
      <c r="B2680" s="1074"/>
      <c r="C2680" s="243"/>
      <c r="D2680" s="221"/>
      <c r="E2680" s="244"/>
      <c r="F2680" s="222"/>
      <c r="G2680" s="224"/>
    </row>
    <row r="2681" spans="1:7" s="1088" customFormat="1" ht="14.25" x14ac:dyDescent="0.2">
      <c r="A2681" s="209"/>
      <c r="B2681" s="245"/>
      <c r="C2681" s="246"/>
      <c r="D2681" s="221"/>
      <c r="E2681" s="247"/>
      <c r="F2681" s="222"/>
      <c r="G2681" s="248"/>
    </row>
    <row r="2682" spans="1:7" s="1088" customFormat="1" ht="14.25" x14ac:dyDescent="0.2">
      <c r="A2682" s="249"/>
      <c r="B2682" s="250"/>
      <c r="C2682" s="251"/>
      <c r="D2682" s="252"/>
      <c r="E2682" s="253"/>
      <c r="F2682" s="254"/>
      <c r="G2682" s="255"/>
    </row>
    <row r="2683" spans="1:7" s="1088" customFormat="1" ht="15" x14ac:dyDescent="0.25">
      <c r="A2683" s="209"/>
      <c r="B2683" s="214"/>
      <c r="C2683" s="256"/>
      <c r="D2683" s="214"/>
      <c r="E2683" s="212"/>
      <c r="F2683" s="257" t="s">
        <v>121</v>
      </c>
      <c r="G2683" s="258">
        <f>+SUM(G2678:G2682)</f>
        <v>103188.47968</v>
      </c>
    </row>
    <row r="2684" spans="1:7" s="1088" customFormat="1" ht="14.25" customHeight="1" x14ac:dyDescent="0.2">
      <c r="A2684" s="209"/>
      <c r="B2684" s="212"/>
      <c r="C2684" s="211"/>
      <c r="D2684" s="212"/>
      <c r="E2684" s="213"/>
      <c r="F2684" s="212"/>
      <c r="G2684" s="215"/>
    </row>
    <row r="2685" spans="1:7" s="1088" customFormat="1" ht="15" x14ac:dyDescent="0.25">
      <c r="A2685" s="216" t="s">
        <v>130</v>
      </c>
      <c r="B2685" s="212"/>
      <c r="C2685" s="211"/>
      <c r="D2685" s="212"/>
      <c r="E2685" s="213"/>
      <c r="F2685" s="214"/>
      <c r="G2685" s="215"/>
    </row>
    <row r="2686" spans="1:7" s="1088" customFormat="1" ht="14.25" x14ac:dyDescent="0.2">
      <c r="A2686" s="209"/>
      <c r="B2686" s="212"/>
      <c r="C2686" s="211"/>
      <c r="D2686" s="212"/>
      <c r="E2686" s="213"/>
      <c r="F2686" s="214"/>
      <c r="G2686" s="215"/>
    </row>
    <row r="2687" spans="1:7" s="1088" customFormat="1" ht="15" x14ac:dyDescent="0.25">
      <c r="A2687" s="1071" t="s">
        <v>116</v>
      </c>
      <c r="B2687" s="1072"/>
      <c r="C2687" s="236" t="s">
        <v>131</v>
      </c>
      <c r="D2687" s="235" t="s">
        <v>132</v>
      </c>
      <c r="E2687" s="236" t="s">
        <v>133</v>
      </c>
      <c r="F2687" s="237" t="s">
        <v>126</v>
      </c>
      <c r="G2687" s="238" t="s">
        <v>134</v>
      </c>
    </row>
    <row r="2688" spans="1:7" s="1088" customFormat="1" ht="14.25" x14ac:dyDescent="0.2">
      <c r="A2688" s="209" t="s">
        <v>10</v>
      </c>
      <c r="B2688" s="259"/>
      <c r="C2688" s="260">
        <f>M2</f>
        <v>22981.8</v>
      </c>
      <c r="D2688" s="261">
        <f>N2</f>
        <v>1.76</v>
      </c>
      <c r="E2688" s="276">
        <f>C2688*D2688</f>
        <v>40447.968000000001</v>
      </c>
      <c r="F2688" s="222">
        <f>1/5</f>
        <v>0.2</v>
      </c>
      <c r="G2688" s="224">
        <f>F2688*E2688</f>
        <v>8089.5936000000002</v>
      </c>
    </row>
    <row r="2689" spans="1:7" s="1088" customFormat="1" ht="14.25" x14ac:dyDescent="0.2">
      <c r="A2689" s="209" t="s">
        <v>140</v>
      </c>
      <c r="B2689" s="259"/>
      <c r="C2689" s="260">
        <f>M3</f>
        <v>40000</v>
      </c>
      <c r="D2689" s="261">
        <f>N3</f>
        <v>1.76</v>
      </c>
      <c r="E2689" s="276">
        <f>C2689*D2689</f>
        <v>70400</v>
      </c>
      <c r="F2689" s="222">
        <f>1/5</f>
        <v>0.2</v>
      </c>
      <c r="G2689" s="224">
        <f>F2689*E2689</f>
        <v>14080</v>
      </c>
    </row>
    <row r="2690" spans="1:7" s="1088" customFormat="1" ht="14.25" x14ac:dyDescent="0.2">
      <c r="A2690" s="209"/>
      <c r="B2690" s="245"/>
      <c r="C2690" s="265"/>
      <c r="D2690" s="246"/>
      <c r="E2690" s="265"/>
      <c r="F2690" s="266"/>
      <c r="G2690" s="267"/>
    </row>
    <row r="2691" spans="1:7" s="1088" customFormat="1" ht="14.25" x14ac:dyDescent="0.2">
      <c r="A2691" s="249"/>
      <c r="B2691" s="250"/>
      <c r="C2691" s="252"/>
      <c r="D2691" s="251"/>
      <c r="E2691" s="252"/>
      <c r="F2691" s="254"/>
      <c r="G2691" s="268"/>
    </row>
    <row r="2692" spans="1:7" s="1088" customFormat="1" ht="15" x14ac:dyDescent="0.25">
      <c r="A2692" s="209"/>
      <c r="B2692" s="212"/>
      <c r="C2692" s="211"/>
      <c r="D2692" s="212"/>
      <c r="E2692" s="269"/>
      <c r="F2692" s="269" t="s">
        <v>121</v>
      </c>
      <c r="G2692" s="270">
        <f>+SUM(G2688:G2691)</f>
        <v>22169.5936</v>
      </c>
    </row>
    <row r="2693" spans="1:7" s="1088" customFormat="1" ht="15" x14ac:dyDescent="0.25">
      <c r="A2693" s="209"/>
      <c r="B2693" s="212"/>
      <c r="C2693" s="211"/>
      <c r="D2693" s="212"/>
      <c r="E2693" s="257"/>
      <c r="F2693" s="257"/>
      <c r="G2693" s="271"/>
    </row>
    <row r="2694" spans="1:7" s="1088" customFormat="1" ht="15" x14ac:dyDescent="0.25">
      <c r="A2694" s="216" t="s">
        <v>135</v>
      </c>
      <c r="B2694" s="212"/>
      <c r="C2694" s="211"/>
      <c r="D2694" s="212"/>
      <c r="E2694" s="213"/>
      <c r="F2694" s="214"/>
      <c r="G2694" s="215"/>
    </row>
    <row r="2695" spans="1:7" s="1088" customFormat="1" ht="14.25" x14ac:dyDescent="0.2">
      <c r="A2695" s="209"/>
      <c r="B2695" s="212"/>
      <c r="C2695" s="211"/>
      <c r="D2695" s="212"/>
      <c r="E2695" s="213"/>
      <c r="F2695" s="214"/>
      <c r="G2695" s="215"/>
    </row>
    <row r="2696" spans="1:7" s="1088" customFormat="1" ht="15" x14ac:dyDescent="0.25">
      <c r="A2696" s="1071" t="s">
        <v>116</v>
      </c>
      <c r="B2696" s="1072"/>
      <c r="C2696" s="236" t="s">
        <v>117</v>
      </c>
      <c r="D2696" s="235" t="s">
        <v>136</v>
      </c>
      <c r="E2696" s="236" t="s">
        <v>124</v>
      </c>
      <c r="F2696" s="237" t="s">
        <v>126</v>
      </c>
      <c r="G2696" s="238" t="s">
        <v>134</v>
      </c>
    </row>
    <row r="2697" spans="1:7" s="1088" customFormat="1" ht="14.25" x14ac:dyDescent="0.2">
      <c r="A2697" s="209" t="s">
        <v>175</v>
      </c>
      <c r="B2697" s="286"/>
      <c r="C2697" s="287" t="s">
        <v>79</v>
      </c>
      <c r="D2697" s="261"/>
      <c r="E2697" s="276">
        <v>68000</v>
      </c>
      <c r="F2697" s="222">
        <f>1/5</f>
        <v>0.2</v>
      </c>
      <c r="G2697" s="224">
        <f>F2697*E2697</f>
        <v>13600</v>
      </c>
    </row>
    <row r="2698" spans="1:7" s="1088" customFormat="1" ht="14.25" x14ac:dyDescent="0.2">
      <c r="A2698" s="209"/>
      <c r="B2698" s="275"/>
      <c r="C2698" s="260"/>
      <c r="D2698" s="261"/>
      <c r="E2698" s="276"/>
      <c r="F2698" s="222"/>
      <c r="G2698" s="224"/>
    </row>
    <row r="2699" spans="1:7" s="1088" customFormat="1" ht="14.25" x14ac:dyDescent="0.2">
      <c r="A2699" s="209"/>
      <c r="B2699" s="259"/>
      <c r="C2699" s="260"/>
      <c r="D2699" s="261"/>
      <c r="E2699" s="276"/>
      <c r="F2699" s="222"/>
      <c r="G2699" s="224"/>
    </row>
    <row r="2700" spans="1:7" s="1088" customFormat="1" ht="14.25" x14ac:dyDescent="0.2">
      <c r="A2700" s="209"/>
      <c r="B2700" s="259"/>
      <c r="C2700" s="260"/>
      <c r="D2700" s="261"/>
      <c r="E2700" s="276"/>
      <c r="F2700" s="222"/>
      <c r="G2700" s="224"/>
    </row>
    <row r="2701" spans="1:7" s="1088" customFormat="1" ht="14.25" x14ac:dyDescent="0.2">
      <c r="A2701" s="209"/>
      <c r="B2701" s="245"/>
      <c r="C2701" s="265"/>
      <c r="D2701" s="246"/>
      <c r="E2701" s="265"/>
      <c r="F2701" s="266"/>
      <c r="G2701" s="267"/>
    </row>
    <row r="2702" spans="1:7" s="1088" customFormat="1" ht="14.25" x14ac:dyDescent="0.2">
      <c r="A2702" s="249"/>
      <c r="B2702" s="250"/>
      <c r="C2702" s="252"/>
      <c r="D2702" s="251"/>
      <c r="E2702" s="252"/>
      <c r="F2702" s="254"/>
      <c r="G2702" s="268"/>
    </row>
    <row r="2703" spans="1:7" s="1088" customFormat="1" ht="15" x14ac:dyDescent="0.25">
      <c r="A2703" s="209"/>
      <c r="B2703" s="212"/>
      <c r="C2703" s="211"/>
      <c r="D2703" s="212"/>
      <c r="E2703" s="269"/>
      <c r="F2703" s="269" t="s">
        <v>121</v>
      </c>
      <c r="G2703" s="270">
        <f>+SUM(G2697:G2702)</f>
        <v>13600</v>
      </c>
    </row>
    <row r="2704" spans="1:7" s="1088" customFormat="1" ht="14.25" x14ac:dyDescent="0.2">
      <c r="A2704" s="209"/>
      <c r="B2704" s="212"/>
      <c r="C2704" s="211"/>
      <c r="D2704" s="212"/>
      <c r="E2704" s="213"/>
      <c r="F2704" s="214"/>
      <c r="G2704" s="271"/>
    </row>
    <row r="2705" spans="1:8" s="1088" customFormat="1" ht="15" x14ac:dyDescent="0.25">
      <c r="A2705" s="277"/>
      <c r="B2705" s="278"/>
      <c r="C2705" s="278"/>
      <c r="D2705" s="278"/>
      <c r="E2705" s="279"/>
      <c r="F2705" s="280" t="s">
        <v>137</v>
      </c>
      <c r="G2705" s="283">
        <f>+ROUND(G2673+G2683+G2692+G2703,0)</f>
        <v>138958</v>
      </c>
    </row>
    <row r="2706" spans="1:8" ht="15" x14ac:dyDescent="0.25">
      <c r="A2706" s="58"/>
      <c r="B2706" s="54"/>
      <c r="C2706" s="54"/>
      <c r="D2706" s="54"/>
      <c r="E2706" s="55"/>
      <c r="F2706" s="103"/>
      <c r="G2706" s="291"/>
      <c r="H2706" s="134"/>
    </row>
    <row r="2707" spans="1:8" s="1088" customFormat="1" ht="15" x14ac:dyDescent="0.25">
      <c r="A2707" s="145" t="s">
        <v>160</v>
      </c>
      <c r="B2707" s="1262" t="s">
        <v>161</v>
      </c>
      <c r="C2707" s="1263"/>
      <c r="D2707" s="1263"/>
      <c r="E2707" s="1263"/>
      <c r="F2707" s="1264"/>
      <c r="G2707" s="146" t="s">
        <v>2</v>
      </c>
    </row>
    <row r="2708" spans="1:8" s="1088" customFormat="1" ht="15" x14ac:dyDescent="0.25">
      <c r="A2708" s="1050">
        <f>'FORMATO PROPUESTA ECONÓMICA'!A81</f>
        <v>8.3000000000000007</v>
      </c>
      <c r="B2708" s="1265" t="str">
        <f>'FORMATO PROPUESTA ECONÓMICA'!B81</f>
        <v>Union dreseer 6" transicion PEAD-PVC</v>
      </c>
      <c r="C2708" s="1266"/>
      <c r="D2708" s="1266"/>
      <c r="E2708" s="1266"/>
      <c r="F2708" s="1267"/>
      <c r="G2708" s="187" t="str">
        <f>'FORMATO PROPUESTA ECONÓMICA'!C81</f>
        <v>und</v>
      </c>
    </row>
    <row r="2709" spans="1:8" s="1088" customFormat="1" ht="14.25" x14ac:dyDescent="0.2">
      <c r="A2709" s="209"/>
      <c r="B2709" s="210"/>
      <c r="C2709" s="211"/>
      <c r="D2709" s="212"/>
      <c r="E2709" s="213"/>
      <c r="F2709" s="214"/>
      <c r="G2709" s="215"/>
    </row>
    <row r="2710" spans="1:8" s="1088" customFormat="1" ht="15" x14ac:dyDescent="0.25">
      <c r="A2710" s="216" t="s">
        <v>115</v>
      </c>
      <c r="B2710" s="212"/>
      <c r="C2710" s="211"/>
      <c r="D2710" s="212"/>
      <c r="E2710" s="213"/>
      <c r="F2710" s="214"/>
      <c r="G2710" s="215"/>
    </row>
    <row r="2711" spans="1:8" s="1088" customFormat="1" ht="14.25" x14ac:dyDescent="0.2">
      <c r="A2711" s="209"/>
      <c r="B2711" s="212"/>
      <c r="C2711" s="211"/>
      <c r="D2711" s="212"/>
      <c r="E2711" s="213"/>
      <c r="F2711" s="214"/>
      <c r="G2711" s="215"/>
    </row>
    <row r="2712" spans="1:8" s="1088" customFormat="1" ht="15" x14ac:dyDescent="0.25">
      <c r="A2712" s="1075" t="s">
        <v>116</v>
      </c>
      <c r="B2712" s="1076"/>
      <c r="C2712" s="217" t="s">
        <v>117</v>
      </c>
      <c r="D2712" s="1075" t="s">
        <v>118</v>
      </c>
      <c r="E2712" s="218" t="s">
        <v>39</v>
      </c>
      <c r="F2712" s="237" t="s">
        <v>126</v>
      </c>
      <c r="G2712" s="219" t="s">
        <v>120</v>
      </c>
    </row>
    <row r="2713" spans="1:8" s="1088" customFormat="1" ht="15" customHeight="1" x14ac:dyDescent="0.2">
      <c r="A2713" s="209"/>
      <c r="B2713" s="286"/>
      <c r="C2713" s="220"/>
      <c r="D2713" s="261"/>
      <c r="E2713" s="276"/>
      <c r="F2713" s="222"/>
      <c r="G2713" s="224"/>
    </row>
    <row r="2714" spans="1:8" s="1088" customFormat="1" ht="42.75" x14ac:dyDescent="0.2">
      <c r="A2714" s="1060" t="str">
        <f>B2708</f>
        <v>Union dreseer 6" transicion PEAD-PVC</v>
      </c>
      <c r="B2714" s="1068"/>
      <c r="C2714" s="225" t="s">
        <v>79</v>
      </c>
      <c r="D2714" s="292">
        <v>142680</v>
      </c>
      <c r="E2714" s="226">
        <v>1</v>
      </c>
      <c r="F2714" s="227"/>
      <c r="G2714" s="228">
        <f>D2714*E2714</f>
        <v>142680</v>
      </c>
    </row>
    <row r="2715" spans="1:8" s="1088" customFormat="1" ht="14.25" x14ac:dyDescent="0.2">
      <c r="A2715" s="1060"/>
      <c r="B2715" s="1068"/>
      <c r="C2715" s="229"/>
      <c r="D2715" s="221"/>
      <c r="E2715" s="226"/>
      <c r="F2715" s="227"/>
      <c r="G2715" s="228">
        <f>D2715*E2715</f>
        <v>0</v>
      </c>
    </row>
    <row r="2716" spans="1:8" s="1088" customFormat="1" ht="14.25" x14ac:dyDescent="0.2">
      <c r="A2716" s="1060"/>
      <c r="B2716" s="1068"/>
      <c r="C2716" s="225"/>
      <c r="D2716" s="221"/>
      <c r="E2716" s="226"/>
      <c r="F2716" s="227"/>
      <c r="G2716" s="228">
        <f>D2716*E2716</f>
        <v>0</v>
      </c>
    </row>
    <row r="2717" spans="1:8" s="1088" customFormat="1" ht="14.25" x14ac:dyDescent="0.2">
      <c r="A2717" s="1069"/>
      <c r="B2717" s="1070"/>
      <c r="C2717" s="230"/>
      <c r="D2717" s="231"/>
      <c r="E2717" s="232"/>
      <c r="F2717" s="233"/>
      <c r="G2717" s="228">
        <f>D2717*E2717</f>
        <v>0</v>
      </c>
    </row>
    <row r="2718" spans="1:8" s="1088" customFormat="1" ht="15" x14ac:dyDescent="0.25">
      <c r="A2718" s="1073"/>
      <c r="B2718" s="210"/>
      <c r="C2718" s="211"/>
      <c r="D2718" s="212"/>
      <c r="E2718" s="212"/>
      <c r="F2718" s="234" t="s">
        <v>121</v>
      </c>
      <c r="G2718" s="231">
        <f>+SUM(G2713:G2717)</f>
        <v>142680</v>
      </c>
    </row>
    <row r="2719" spans="1:8" s="1088" customFormat="1" ht="14.25" x14ac:dyDescent="0.2">
      <c r="A2719" s="209"/>
      <c r="B2719" s="212"/>
      <c r="C2719" s="211" t="s">
        <v>123</v>
      </c>
      <c r="D2719" s="212"/>
      <c r="E2719" s="213"/>
      <c r="F2719" s="214"/>
      <c r="G2719" s="215"/>
    </row>
    <row r="2720" spans="1:8" s="1088" customFormat="1" ht="15" x14ac:dyDescent="0.25">
      <c r="A2720" s="216" t="s">
        <v>122</v>
      </c>
      <c r="B2720" s="212"/>
      <c r="C2720" s="211" t="s">
        <v>123</v>
      </c>
      <c r="D2720" s="212"/>
      <c r="E2720" s="213"/>
      <c r="F2720" s="214"/>
      <c r="G2720" s="215"/>
    </row>
    <row r="2721" spans="1:7" s="1088" customFormat="1" ht="14.25" x14ac:dyDescent="0.2">
      <c r="A2721" s="209"/>
      <c r="B2721" s="212"/>
      <c r="C2721" s="211"/>
      <c r="D2721" s="212"/>
      <c r="E2721" s="213"/>
      <c r="F2721" s="214"/>
      <c r="G2721" s="215"/>
    </row>
    <row r="2722" spans="1:7" s="1088" customFormat="1" ht="15" x14ac:dyDescent="0.25">
      <c r="A2722" s="1071" t="s">
        <v>116</v>
      </c>
      <c r="B2722" s="1072"/>
      <c r="C2722" s="235" t="s">
        <v>117</v>
      </c>
      <c r="D2722" s="236" t="s">
        <v>124</v>
      </c>
      <c r="E2722" s="236" t="s">
        <v>125</v>
      </c>
      <c r="F2722" s="237" t="s">
        <v>126</v>
      </c>
      <c r="G2722" s="238" t="s">
        <v>120</v>
      </c>
    </row>
    <row r="2723" spans="1:7" s="1088" customFormat="1" ht="28.5" x14ac:dyDescent="0.2">
      <c r="A2723" s="1066" t="s">
        <v>127</v>
      </c>
      <c r="B2723" s="1067"/>
      <c r="C2723" s="239" t="s">
        <v>128</v>
      </c>
      <c r="D2723" s="240"/>
      <c r="E2723" s="241"/>
      <c r="F2723" s="222"/>
      <c r="G2723" s="242">
        <f>G2737*0.05</f>
        <v>1108.4796800000001</v>
      </c>
    </row>
    <row r="2724" spans="1:7" s="1088" customFormat="1" ht="14.25" x14ac:dyDescent="0.2">
      <c r="A2724" s="1256"/>
      <c r="B2724" s="1257"/>
      <c r="C2724" s="220"/>
      <c r="D2724" s="261"/>
      <c r="E2724" s="289"/>
      <c r="F2724" s="290">
        <v>1</v>
      </c>
      <c r="G2724" s="242">
        <f>D2724*F2724</f>
        <v>0</v>
      </c>
    </row>
    <row r="2725" spans="1:7" s="1088" customFormat="1" ht="14.25" x14ac:dyDescent="0.2">
      <c r="A2725" s="1073"/>
      <c r="B2725" s="1074"/>
      <c r="C2725" s="243"/>
      <c r="D2725" s="221"/>
      <c r="E2725" s="244"/>
      <c r="F2725" s="222"/>
      <c r="G2725" s="224"/>
    </row>
    <row r="2726" spans="1:7" s="1088" customFormat="1" ht="14.25" x14ac:dyDescent="0.2">
      <c r="A2726" s="209"/>
      <c r="B2726" s="245"/>
      <c r="C2726" s="246"/>
      <c r="D2726" s="221"/>
      <c r="E2726" s="247"/>
      <c r="F2726" s="222"/>
      <c r="G2726" s="248"/>
    </row>
    <row r="2727" spans="1:7" s="1088" customFormat="1" ht="14.25" x14ac:dyDescent="0.2">
      <c r="A2727" s="249"/>
      <c r="B2727" s="250"/>
      <c r="C2727" s="251"/>
      <c r="D2727" s="252"/>
      <c r="E2727" s="253"/>
      <c r="F2727" s="254"/>
      <c r="G2727" s="255"/>
    </row>
    <row r="2728" spans="1:7" s="1088" customFormat="1" ht="15" x14ac:dyDescent="0.25">
      <c r="A2728" s="209"/>
      <c r="B2728" s="214"/>
      <c r="C2728" s="256"/>
      <c r="D2728" s="214"/>
      <c r="E2728" s="212"/>
      <c r="F2728" s="257" t="s">
        <v>121</v>
      </c>
      <c r="G2728" s="258">
        <f>+SUM(G2723:G2727)</f>
        <v>1108.4796800000001</v>
      </c>
    </row>
    <row r="2729" spans="1:7" s="1088" customFormat="1" ht="14.25" customHeight="1" x14ac:dyDescent="0.2">
      <c r="A2729" s="209"/>
      <c r="B2729" s="212"/>
      <c r="C2729" s="211"/>
      <c r="D2729" s="212"/>
      <c r="E2729" s="213"/>
      <c r="F2729" s="212"/>
      <c r="G2729" s="215"/>
    </row>
    <row r="2730" spans="1:7" s="1088" customFormat="1" ht="15" x14ac:dyDescent="0.25">
      <c r="A2730" s="216" t="s">
        <v>130</v>
      </c>
      <c r="B2730" s="212"/>
      <c r="C2730" s="211"/>
      <c r="D2730" s="212"/>
      <c r="E2730" s="213"/>
      <c r="F2730" s="214"/>
      <c r="G2730" s="215"/>
    </row>
    <row r="2731" spans="1:7" s="1088" customFormat="1" ht="14.25" x14ac:dyDescent="0.2">
      <c r="A2731" s="209"/>
      <c r="B2731" s="212"/>
      <c r="C2731" s="211"/>
      <c r="D2731" s="212"/>
      <c r="E2731" s="213"/>
      <c r="F2731" s="214"/>
      <c r="G2731" s="215"/>
    </row>
    <row r="2732" spans="1:7" s="1088" customFormat="1" ht="15" x14ac:dyDescent="0.25">
      <c r="A2732" s="1071" t="s">
        <v>116</v>
      </c>
      <c r="B2732" s="1072"/>
      <c r="C2732" s="236" t="s">
        <v>131</v>
      </c>
      <c r="D2732" s="235" t="s">
        <v>132</v>
      </c>
      <c r="E2732" s="236" t="s">
        <v>133</v>
      </c>
      <c r="F2732" s="237" t="s">
        <v>126</v>
      </c>
      <c r="G2732" s="238" t="s">
        <v>134</v>
      </c>
    </row>
    <row r="2733" spans="1:7" s="1088" customFormat="1" ht="14.25" x14ac:dyDescent="0.2">
      <c r="A2733" s="209" t="s">
        <v>10</v>
      </c>
      <c r="B2733" s="259"/>
      <c r="C2733" s="260">
        <f>M2</f>
        <v>22981.8</v>
      </c>
      <c r="D2733" s="261">
        <f>N2</f>
        <v>1.76</v>
      </c>
      <c r="E2733" s="276">
        <f>C2733*D2733</f>
        <v>40447.968000000001</v>
      </c>
      <c r="F2733" s="222">
        <f>1/5</f>
        <v>0.2</v>
      </c>
      <c r="G2733" s="224">
        <f>F2733*E2733</f>
        <v>8089.5936000000002</v>
      </c>
    </row>
    <row r="2734" spans="1:7" s="1088" customFormat="1" ht="14.25" x14ac:dyDescent="0.2">
      <c r="A2734" s="209" t="s">
        <v>140</v>
      </c>
      <c r="B2734" s="259"/>
      <c r="C2734" s="260">
        <f>M3</f>
        <v>40000</v>
      </c>
      <c r="D2734" s="261">
        <f>N3</f>
        <v>1.76</v>
      </c>
      <c r="E2734" s="276">
        <f>C2734*D2734</f>
        <v>70400</v>
      </c>
      <c r="F2734" s="222">
        <f>1/5</f>
        <v>0.2</v>
      </c>
      <c r="G2734" s="224">
        <f>F2734*E2734</f>
        <v>14080</v>
      </c>
    </row>
    <row r="2735" spans="1:7" s="1088" customFormat="1" ht="14.25" x14ac:dyDescent="0.2">
      <c r="A2735" s="209"/>
      <c r="B2735" s="245"/>
      <c r="C2735" s="265"/>
      <c r="D2735" s="246"/>
      <c r="E2735" s="265"/>
      <c r="F2735" s="266"/>
      <c r="G2735" s="267"/>
    </row>
    <row r="2736" spans="1:7" s="1088" customFormat="1" ht="14.25" x14ac:dyDescent="0.2">
      <c r="A2736" s="249"/>
      <c r="B2736" s="250"/>
      <c r="C2736" s="252"/>
      <c r="D2736" s="251"/>
      <c r="E2736" s="252"/>
      <c r="F2736" s="254"/>
      <c r="G2736" s="268"/>
    </row>
    <row r="2737" spans="1:8" s="1088" customFormat="1" ht="15" x14ac:dyDescent="0.25">
      <c r="A2737" s="209"/>
      <c r="B2737" s="212"/>
      <c r="C2737" s="211"/>
      <c r="D2737" s="212"/>
      <c r="E2737" s="269"/>
      <c r="F2737" s="269" t="s">
        <v>121</v>
      </c>
      <c r="G2737" s="270">
        <f>+SUM(G2733:G2736)</f>
        <v>22169.5936</v>
      </c>
    </row>
    <row r="2738" spans="1:8" s="1088" customFormat="1" ht="15" x14ac:dyDescent="0.25">
      <c r="A2738" s="209"/>
      <c r="B2738" s="212"/>
      <c r="C2738" s="211"/>
      <c r="D2738" s="212"/>
      <c r="E2738" s="257"/>
      <c r="F2738" s="257"/>
      <c r="G2738" s="271"/>
    </row>
    <row r="2739" spans="1:8" s="1088" customFormat="1" ht="15" x14ac:dyDescent="0.25">
      <c r="A2739" s="216" t="s">
        <v>135</v>
      </c>
      <c r="B2739" s="212"/>
      <c r="C2739" s="211"/>
      <c r="D2739" s="212"/>
      <c r="E2739" s="213"/>
      <c r="F2739" s="214"/>
      <c r="G2739" s="215"/>
    </row>
    <row r="2740" spans="1:8" s="1088" customFormat="1" ht="14.25" x14ac:dyDescent="0.2">
      <c r="A2740" s="209"/>
      <c r="B2740" s="212"/>
      <c r="C2740" s="211"/>
      <c r="D2740" s="212"/>
      <c r="E2740" s="213"/>
      <c r="F2740" s="214"/>
      <c r="G2740" s="215"/>
    </row>
    <row r="2741" spans="1:8" s="1088" customFormat="1" ht="15" x14ac:dyDescent="0.25">
      <c r="A2741" s="1071" t="s">
        <v>116</v>
      </c>
      <c r="B2741" s="1072"/>
      <c r="C2741" s="236" t="s">
        <v>117</v>
      </c>
      <c r="D2741" s="235" t="s">
        <v>136</v>
      </c>
      <c r="E2741" s="236" t="s">
        <v>124</v>
      </c>
      <c r="F2741" s="237" t="s">
        <v>126</v>
      </c>
      <c r="G2741" s="238" t="s">
        <v>134</v>
      </c>
    </row>
    <row r="2742" spans="1:8" s="1088" customFormat="1" ht="14.25" x14ac:dyDescent="0.2">
      <c r="A2742" s="209" t="s">
        <v>175</v>
      </c>
      <c r="B2742" s="286"/>
      <c r="C2742" s="287" t="s">
        <v>79</v>
      </c>
      <c r="D2742" s="261"/>
      <c r="E2742" s="276">
        <v>68000</v>
      </c>
      <c r="F2742" s="222">
        <f>1/5</f>
        <v>0.2</v>
      </c>
      <c r="G2742" s="224">
        <f>F2742*E2742</f>
        <v>13600</v>
      </c>
    </row>
    <row r="2743" spans="1:8" s="1088" customFormat="1" ht="14.25" x14ac:dyDescent="0.2">
      <c r="A2743" s="209"/>
      <c r="B2743" s="275"/>
      <c r="C2743" s="260"/>
      <c r="D2743" s="261"/>
      <c r="E2743" s="276"/>
      <c r="F2743" s="222"/>
      <c r="G2743" s="224"/>
    </row>
    <row r="2744" spans="1:8" s="1088" customFormat="1" ht="14.25" x14ac:dyDescent="0.2">
      <c r="A2744" s="209"/>
      <c r="B2744" s="259"/>
      <c r="C2744" s="260"/>
      <c r="D2744" s="261"/>
      <c r="E2744" s="276"/>
      <c r="F2744" s="222"/>
      <c r="G2744" s="224"/>
    </row>
    <row r="2745" spans="1:8" s="1088" customFormat="1" ht="14.25" x14ac:dyDescent="0.2">
      <c r="A2745" s="209"/>
      <c r="B2745" s="259"/>
      <c r="C2745" s="260"/>
      <c r="D2745" s="261"/>
      <c r="E2745" s="276"/>
      <c r="F2745" s="222"/>
      <c r="G2745" s="224"/>
    </row>
    <row r="2746" spans="1:8" s="1088" customFormat="1" ht="14.25" x14ac:dyDescent="0.2">
      <c r="A2746" s="209"/>
      <c r="B2746" s="245"/>
      <c r="C2746" s="265"/>
      <c r="D2746" s="246"/>
      <c r="E2746" s="265"/>
      <c r="F2746" s="266"/>
      <c r="G2746" s="267"/>
    </row>
    <row r="2747" spans="1:8" s="1088" customFormat="1" ht="14.25" x14ac:dyDescent="0.2">
      <c r="A2747" s="249"/>
      <c r="B2747" s="250"/>
      <c r="C2747" s="252"/>
      <c r="D2747" s="251"/>
      <c r="E2747" s="252"/>
      <c r="F2747" s="254"/>
      <c r="G2747" s="268"/>
    </row>
    <row r="2748" spans="1:8" s="1088" customFormat="1" ht="15" x14ac:dyDescent="0.25">
      <c r="A2748" s="209"/>
      <c r="B2748" s="212"/>
      <c r="C2748" s="211"/>
      <c r="D2748" s="212"/>
      <c r="E2748" s="269"/>
      <c r="F2748" s="269" t="s">
        <v>121</v>
      </c>
      <c r="G2748" s="270">
        <f>+SUM(G2742:G2747)</f>
        <v>13600</v>
      </c>
    </row>
    <row r="2749" spans="1:8" s="1088" customFormat="1" ht="14.25" x14ac:dyDescent="0.2">
      <c r="A2749" s="209"/>
      <c r="B2749" s="212"/>
      <c r="C2749" s="211"/>
      <c r="D2749" s="212"/>
      <c r="E2749" s="213"/>
      <c r="F2749" s="214"/>
      <c r="G2749" s="271"/>
    </row>
    <row r="2750" spans="1:8" s="1088" customFormat="1" ht="15" x14ac:dyDescent="0.25">
      <c r="A2750" s="277"/>
      <c r="B2750" s="278"/>
      <c r="C2750" s="278"/>
      <c r="D2750" s="278"/>
      <c r="E2750" s="279"/>
      <c r="F2750" s="280" t="s">
        <v>137</v>
      </c>
      <c r="G2750" s="283">
        <f>+ROUND(G2718+G2728+G2737+G2748,0)</f>
        <v>179558</v>
      </c>
    </row>
    <row r="2751" spans="1:8" ht="15" x14ac:dyDescent="0.25">
      <c r="A2751" s="58"/>
      <c r="B2751" s="54"/>
      <c r="C2751" s="54"/>
      <c r="D2751" s="54"/>
      <c r="E2751" s="55"/>
      <c r="F2751" s="103"/>
      <c r="G2751" s="291"/>
      <c r="H2751" s="134"/>
    </row>
    <row r="2752" spans="1:8" s="1088" customFormat="1" ht="15" x14ac:dyDescent="0.25">
      <c r="A2752" s="145" t="s">
        <v>160</v>
      </c>
      <c r="B2752" s="1262" t="s">
        <v>161</v>
      </c>
      <c r="C2752" s="1263"/>
      <c r="D2752" s="1263"/>
      <c r="E2752" s="1263"/>
      <c r="F2752" s="1264"/>
      <c r="G2752" s="146" t="s">
        <v>2</v>
      </c>
    </row>
    <row r="2753" spans="1:7" s="1088" customFormat="1" ht="15" x14ac:dyDescent="0.25">
      <c r="A2753" s="1050">
        <f>'FORMATO PROPUESTA ECONÓMICA'!A82</f>
        <v>8.4</v>
      </c>
      <c r="B2753" s="1265" t="str">
        <f>'FORMATO PROPUESTA ECONÓMICA'!B82</f>
        <v>Union dreseer 8" transicion PEAD-PVC</v>
      </c>
      <c r="C2753" s="1266"/>
      <c r="D2753" s="1266"/>
      <c r="E2753" s="1266"/>
      <c r="F2753" s="1267"/>
      <c r="G2753" s="187" t="str">
        <f>'FORMATO PROPUESTA ECONÓMICA'!C82</f>
        <v>und</v>
      </c>
    </row>
    <row r="2754" spans="1:7" s="1088" customFormat="1" ht="14.25" x14ac:dyDescent="0.2">
      <c r="A2754" s="209"/>
      <c r="B2754" s="210"/>
      <c r="C2754" s="211"/>
      <c r="D2754" s="212"/>
      <c r="E2754" s="213"/>
      <c r="F2754" s="214"/>
      <c r="G2754" s="215"/>
    </row>
    <row r="2755" spans="1:7" s="1088" customFormat="1" ht="15" x14ac:dyDescent="0.25">
      <c r="A2755" s="216" t="s">
        <v>115</v>
      </c>
      <c r="B2755" s="212"/>
      <c r="C2755" s="211"/>
      <c r="D2755" s="212"/>
      <c r="E2755" s="213"/>
      <c r="F2755" s="214"/>
      <c r="G2755" s="215"/>
    </row>
    <row r="2756" spans="1:7" s="1088" customFormat="1" ht="14.25" x14ac:dyDescent="0.2">
      <c r="A2756" s="209"/>
      <c r="B2756" s="212"/>
      <c r="C2756" s="211"/>
      <c r="D2756" s="212"/>
      <c r="E2756" s="213"/>
      <c r="F2756" s="214"/>
      <c r="G2756" s="215"/>
    </row>
    <row r="2757" spans="1:7" s="1088" customFormat="1" ht="15" x14ac:dyDescent="0.25">
      <c r="A2757" s="1075" t="s">
        <v>116</v>
      </c>
      <c r="B2757" s="1076"/>
      <c r="C2757" s="217" t="s">
        <v>117</v>
      </c>
      <c r="D2757" s="1075" t="s">
        <v>118</v>
      </c>
      <c r="E2757" s="218" t="s">
        <v>39</v>
      </c>
      <c r="F2757" s="237" t="s">
        <v>126</v>
      </c>
      <c r="G2757" s="219" t="s">
        <v>120</v>
      </c>
    </row>
    <row r="2758" spans="1:7" s="1088" customFormat="1" ht="15" customHeight="1" x14ac:dyDescent="0.2">
      <c r="A2758" s="209"/>
      <c r="B2758" s="286"/>
      <c r="C2758" s="220"/>
      <c r="D2758" s="261"/>
      <c r="E2758" s="276"/>
      <c r="F2758" s="222"/>
      <c r="G2758" s="224"/>
    </row>
    <row r="2759" spans="1:7" s="1088" customFormat="1" ht="14.25" x14ac:dyDescent="0.2">
      <c r="A2759" s="1252" t="str">
        <f>B2753</f>
        <v>Union dreseer 8" transicion PEAD-PVC</v>
      </c>
      <c r="B2759" s="1253"/>
      <c r="C2759" s="225" t="s">
        <v>79</v>
      </c>
      <c r="D2759" s="292">
        <v>142680</v>
      </c>
      <c r="E2759" s="226">
        <v>1</v>
      </c>
      <c r="F2759" s="227"/>
      <c r="G2759" s="228">
        <f>D2759*E2759</f>
        <v>142680</v>
      </c>
    </row>
    <row r="2760" spans="1:7" s="1088" customFormat="1" ht="14.25" x14ac:dyDescent="0.2">
      <c r="A2760" s="1060"/>
      <c r="B2760" s="1068"/>
      <c r="C2760" s="229"/>
      <c r="D2760" s="221"/>
      <c r="E2760" s="226"/>
      <c r="F2760" s="227"/>
      <c r="G2760" s="228">
        <f>D2760*E2760</f>
        <v>0</v>
      </c>
    </row>
    <row r="2761" spans="1:7" s="1088" customFormat="1" ht="14.25" x14ac:dyDescent="0.2">
      <c r="A2761" s="1060"/>
      <c r="B2761" s="1068"/>
      <c r="C2761" s="225"/>
      <c r="D2761" s="221"/>
      <c r="E2761" s="226"/>
      <c r="F2761" s="227"/>
      <c r="G2761" s="228">
        <f>D2761*E2761</f>
        <v>0</v>
      </c>
    </row>
    <row r="2762" spans="1:7" s="1088" customFormat="1" ht="14.25" x14ac:dyDescent="0.2">
      <c r="A2762" s="1069"/>
      <c r="B2762" s="1070"/>
      <c r="C2762" s="230"/>
      <c r="D2762" s="231"/>
      <c r="E2762" s="232"/>
      <c r="F2762" s="233"/>
      <c r="G2762" s="228">
        <f>D2762*E2762</f>
        <v>0</v>
      </c>
    </row>
    <row r="2763" spans="1:7" s="1088" customFormat="1" ht="15" x14ac:dyDescent="0.25">
      <c r="A2763" s="1073"/>
      <c r="B2763" s="210"/>
      <c r="C2763" s="211"/>
      <c r="D2763" s="212"/>
      <c r="E2763" s="212"/>
      <c r="F2763" s="234" t="s">
        <v>121</v>
      </c>
      <c r="G2763" s="231">
        <f>+SUM(G2758:G2762)</f>
        <v>142680</v>
      </c>
    </row>
    <row r="2764" spans="1:7" s="1088" customFormat="1" ht="14.25" x14ac:dyDescent="0.2">
      <c r="A2764" s="209"/>
      <c r="B2764" s="212"/>
      <c r="C2764" s="211" t="s">
        <v>123</v>
      </c>
      <c r="D2764" s="212"/>
      <c r="E2764" s="213"/>
      <c r="F2764" s="214"/>
      <c r="G2764" s="215"/>
    </row>
    <row r="2765" spans="1:7" s="1088" customFormat="1" ht="15" x14ac:dyDescent="0.25">
      <c r="A2765" s="216" t="s">
        <v>122</v>
      </c>
      <c r="B2765" s="212"/>
      <c r="C2765" s="211" t="s">
        <v>123</v>
      </c>
      <c r="D2765" s="212"/>
      <c r="E2765" s="213"/>
      <c r="F2765" s="214"/>
      <c r="G2765" s="215"/>
    </row>
    <row r="2766" spans="1:7" s="1088" customFormat="1" ht="14.25" x14ac:dyDescent="0.2">
      <c r="A2766" s="209"/>
      <c r="B2766" s="212"/>
      <c r="C2766" s="211"/>
      <c r="D2766" s="212"/>
      <c r="E2766" s="213"/>
      <c r="F2766" s="214"/>
      <c r="G2766" s="215"/>
    </row>
    <row r="2767" spans="1:7" s="1088" customFormat="1" ht="15" x14ac:dyDescent="0.25">
      <c r="A2767" s="1071" t="s">
        <v>116</v>
      </c>
      <c r="B2767" s="1072"/>
      <c r="C2767" s="235" t="s">
        <v>117</v>
      </c>
      <c r="D2767" s="236" t="s">
        <v>124</v>
      </c>
      <c r="E2767" s="236" t="s">
        <v>125</v>
      </c>
      <c r="F2767" s="237" t="s">
        <v>126</v>
      </c>
      <c r="G2767" s="238" t="s">
        <v>120</v>
      </c>
    </row>
    <row r="2768" spans="1:7" s="1088" customFormat="1" ht="28.5" x14ac:dyDescent="0.2">
      <c r="A2768" s="1066" t="s">
        <v>127</v>
      </c>
      <c r="B2768" s="1067"/>
      <c r="C2768" s="239" t="s">
        <v>128</v>
      </c>
      <c r="D2768" s="240"/>
      <c r="E2768" s="241"/>
      <c r="F2768" s="222"/>
      <c r="G2768" s="242">
        <f>G2782*0.05</f>
        <v>1108.4796800000001</v>
      </c>
    </row>
    <row r="2769" spans="1:7" s="1088" customFormat="1" ht="14.25" x14ac:dyDescent="0.2">
      <c r="A2769" s="1256"/>
      <c r="B2769" s="1257"/>
      <c r="C2769" s="220"/>
      <c r="D2769" s="261"/>
      <c r="E2769" s="289"/>
      <c r="F2769" s="290"/>
      <c r="G2769" s="242">
        <f>D2769*F2769</f>
        <v>0</v>
      </c>
    </row>
    <row r="2770" spans="1:7" s="1088" customFormat="1" ht="14.25" x14ac:dyDescent="0.2">
      <c r="A2770" s="1073"/>
      <c r="B2770" s="1074"/>
      <c r="C2770" s="243"/>
      <c r="D2770" s="221"/>
      <c r="E2770" s="244"/>
      <c r="F2770" s="222"/>
      <c r="G2770" s="224"/>
    </row>
    <row r="2771" spans="1:7" s="1088" customFormat="1" ht="14.25" x14ac:dyDescent="0.2">
      <c r="A2771" s="209"/>
      <c r="B2771" s="245"/>
      <c r="C2771" s="246"/>
      <c r="D2771" s="221"/>
      <c r="E2771" s="247"/>
      <c r="F2771" s="222"/>
      <c r="G2771" s="248"/>
    </row>
    <row r="2772" spans="1:7" s="1088" customFormat="1" ht="14.25" x14ac:dyDescent="0.2">
      <c r="A2772" s="249"/>
      <c r="B2772" s="250"/>
      <c r="C2772" s="251"/>
      <c r="D2772" s="252"/>
      <c r="E2772" s="253"/>
      <c r="F2772" s="254"/>
      <c r="G2772" s="255"/>
    </row>
    <row r="2773" spans="1:7" s="1088" customFormat="1" ht="15" x14ac:dyDescent="0.25">
      <c r="A2773" s="209"/>
      <c r="B2773" s="214"/>
      <c r="C2773" s="256"/>
      <c r="D2773" s="214"/>
      <c r="E2773" s="212"/>
      <c r="F2773" s="257" t="s">
        <v>121</v>
      </c>
      <c r="G2773" s="258">
        <f>+SUM(G2768:G2772)</f>
        <v>1108.4796800000001</v>
      </c>
    </row>
    <row r="2774" spans="1:7" s="1088" customFormat="1" ht="14.25" customHeight="1" x14ac:dyDescent="0.2">
      <c r="A2774" s="209"/>
      <c r="B2774" s="212"/>
      <c r="C2774" s="211"/>
      <c r="D2774" s="212"/>
      <c r="E2774" s="213"/>
      <c r="F2774" s="212"/>
      <c r="G2774" s="215"/>
    </row>
    <row r="2775" spans="1:7" s="1088" customFormat="1" ht="15" x14ac:dyDescent="0.25">
      <c r="A2775" s="216" t="s">
        <v>130</v>
      </c>
      <c r="B2775" s="212"/>
      <c r="C2775" s="211"/>
      <c r="D2775" s="212"/>
      <c r="E2775" s="213"/>
      <c r="F2775" s="214"/>
      <c r="G2775" s="215"/>
    </row>
    <row r="2776" spans="1:7" s="1088" customFormat="1" ht="14.25" x14ac:dyDescent="0.2">
      <c r="A2776" s="209"/>
      <c r="B2776" s="212"/>
      <c r="C2776" s="211"/>
      <c r="D2776" s="212"/>
      <c r="E2776" s="213"/>
      <c r="F2776" s="214"/>
      <c r="G2776" s="215"/>
    </row>
    <row r="2777" spans="1:7" s="1088" customFormat="1" ht="15" x14ac:dyDescent="0.25">
      <c r="A2777" s="1071" t="s">
        <v>116</v>
      </c>
      <c r="B2777" s="1072"/>
      <c r="C2777" s="236" t="s">
        <v>131</v>
      </c>
      <c r="D2777" s="235" t="s">
        <v>132</v>
      </c>
      <c r="E2777" s="236" t="s">
        <v>133</v>
      </c>
      <c r="F2777" s="237" t="s">
        <v>126</v>
      </c>
      <c r="G2777" s="238" t="s">
        <v>134</v>
      </c>
    </row>
    <row r="2778" spans="1:7" s="1088" customFormat="1" ht="14.25" x14ac:dyDescent="0.2">
      <c r="A2778" s="209" t="s">
        <v>10</v>
      </c>
      <c r="B2778" s="259"/>
      <c r="C2778" s="260">
        <f>M2</f>
        <v>22981.8</v>
      </c>
      <c r="D2778" s="261">
        <f>N2</f>
        <v>1.76</v>
      </c>
      <c r="E2778" s="276">
        <f>C2778*D2778</f>
        <v>40447.968000000001</v>
      </c>
      <c r="F2778" s="222">
        <f>1/5</f>
        <v>0.2</v>
      </c>
      <c r="G2778" s="224">
        <f>F2778*E2778</f>
        <v>8089.5936000000002</v>
      </c>
    </row>
    <row r="2779" spans="1:7" s="1088" customFormat="1" ht="14.25" x14ac:dyDescent="0.2">
      <c r="A2779" s="209" t="s">
        <v>140</v>
      </c>
      <c r="B2779" s="259"/>
      <c r="C2779" s="260">
        <f>M3</f>
        <v>40000</v>
      </c>
      <c r="D2779" s="261">
        <f>N3</f>
        <v>1.76</v>
      </c>
      <c r="E2779" s="276">
        <f>C2779*D2779</f>
        <v>70400</v>
      </c>
      <c r="F2779" s="222">
        <f>1/5</f>
        <v>0.2</v>
      </c>
      <c r="G2779" s="224">
        <f>F2779*E2779</f>
        <v>14080</v>
      </c>
    </row>
    <row r="2780" spans="1:7" s="1088" customFormat="1" ht="14.25" x14ac:dyDescent="0.2">
      <c r="A2780" s="209"/>
      <c r="B2780" s="245"/>
      <c r="C2780" s="265"/>
      <c r="D2780" s="246"/>
      <c r="E2780" s="265"/>
      <c r="F2780" s="266"/>
      <c r="G2780" s="267"/>
    </row>
    <row r="2781" spans="1:7" s="1088" customFormat="1" ht="14.25" x14ac:dyDescent="0.2">
      <c r="A2781" s="249"/>
      <c r="B2781" s="250"/>
      <c r="C2781" s="252"/>
      <c r="D2781" s="251"/>
      <c r="E2781" s="252"/>
      <c r="F2781" s="254"/>
      <c r="G2781" s="268"/>
    </row>
    <row r="2782" spans="1:7" s="1088" customFormat="1" ht="15" x14ac:dyDescent="0.25">
      <c r="A2782" s="209"/>
      <c r="B2782" s="212"/>
      <c r="C2782" s="211"/>
      <c r="D2782" s="212"/>
      <c r="E2782" s="269"/>
      <c r="F2782" s="269" t="s">
        <v>121</v>
      </c>
      <c r="G2782" s="270">
        <f>+SUM(G2778:G2781)</f>
        <v>22169.5936</v>
      </c>
    </row>
    <row r="2783" spans="1:7" s="1088" customFormat="1" ht="15" x14ac:dyDescent="0.25">
      <c r="A2783" s="209"/>
      <c r="B2783" s="212"/>
      <c r="C2783" s="211"/>
      <c r="D2783" s="212"/>
      <c r="E2783" s="257"/>
      <c r="F2783" s="257"/>
      <c r="G2783" s="271"/>
    </row>
    <row r="2784" spans="1:7" s="1088" customFormat="1" ht="15" x14ac:dyDescent="0.25">
      <c r="A2784" s="216" t="s">
        <v>135</v>
      </c>
      <c r="B2784" s="212"/>
      <c r="C2784" s="211"/>
      <c r="D2784" s="212"/>
      <c r="E2784" s="213"/>
      <c r="F2784" s="214"/>
      <c r="G2784" s="215"/>
    </row>
    <row r="2785" spans="1:8" s="1088" customFormat="1" ht="14.25" x14ac:dyDescent="0.2">
      <c r="A2785" s="209"/>
      <c r="B2785" s="212"/>
      <c r="C2785" s="211"/>
      <c r="D2785" s="212"/>
      <c r="E2785" s="213"/>
      <c r="F2785" s="214"/>
      <c r="G2785" s="215"/>
    </row>
    <row r="2786" spans="1:8" s="1088" customFormat="1" ht="15" x14ac:dyDescent="0.25">
      <c r="A2786" s="1071" t="s">
        <v>116</v>
      </c>
      <c r="B2786" s="1072"/>
      <c r="C2786" s="236" t="s">
        <v>117</v>
      </c>
      <c r="D2786" s="235" t="s">
        <v>136</v>
      </c>
      <c r="E2786" s="236" t="s">
        <v>124</v>
      </c>
      <c r="F2786" s="237" t="s">
        <v>126</v>
      </c>
      <c r="G2786" s="238" t="s">
        <v>134</v>
      </c>
    </row>
    <row r="2787" spans="1:8" s="1088" customFormat="1" ht="14.25" x14ac:dyDescent="0.2">
      <c r="A2787" s="209" t="s">
        <v>175</v>
      </c>
      <c r="B2787" s="286"/>
      <c r="C2787" s="287" t="s">
        <v>79</v>
      </c>
      <c r="D2787" s="261"/>
      <c r="E2787" s="276">
        <v>68000</v>
      </c>
      <c r="F2787" s="222">
        <f>1/5</f>
        <v>0.2</v>
      </c>
      <c r="G2787" s="224">
        <f>F2787*E2787</f>
        <v>13600</v>
      </c>
    </row>
    <row r="2788" spans="1:8" s="1088" customFormat="1" ht="14.25" x14ac:dyDescent="0.2">
      <c r="A2788" s="209"/>
      <c r="B2788" s="275"/>
      <c r="C2788" s="260"/>
      <c r="D2788" s="261"/>
      <c r="E2788" s="276"/>
      <c r="F2788" s="222"/>
      <c r="G2788" s="224"/>
    </row>
    <row r="2789" spans="1:8" s="1088" customFormat="1" ht="14.25" x14ac:dyDescent="0.2">
      <c r="A2789" s="209"/>
      <c r="B2789" s="259"/>
      <c r="C2789" s="260"/>
      <c r="D2789" s="261"/>
      <c r="E2789" s="276"/>
      <c r="F2789" s="222"/>
      <c r="G2789" s="224"/>
    </row>
    <row r="2790" spans="1:8" s="1088" customFormat="1" ht="14.25" x14ac:dyDescent="0.2">
      <c r="A2790" s="209"/>
      <c r="B2790" s="259"/>
      <c r="C2790" s="260"/>
      <c r="D2790" s="261"/>
      <c r="E2790" s="276"/>
      <c r="F2790" s="222"/>
      <c r="G2790" s="224"/>
    </row>
    <row r="2791" spans="1:8" s="1088" customFormat="1" ht="14.25" x14ac:dyDescent="0.2">
      <c r="A2791" s="209"/>
      <c r="B2791" s="245"/>
      <c r="C2791" s="265"/>
      <c r="D2791" s="246"/>
      <c r="E2791" s="265"/>
      <c r="F2791" s="266"/>
      <c r="G2791" s="267"/>
    </row>
    <row r="2792" spans="1:8" s="1088" customFormat="1" ht="14.25" x14ac:dyDescent="0.2">
      <c r="A2792" s="249"/>
      <c r="B2792" s="250"/>
      <c r="C2792" s="252"/>
      <c r="D2792" s="251"/>
      <c r="E2792" s="252"/>
      <c r="F2792" s="254"/>
      <c r="G2792" s="268"/>
    </row>
    <row r="2793" spans="1:8" s="1088" customFormat="1" ht="15" x14ac:dyDescent="0.25">
      <c r="A2793" s="209"/>
      <c r="B2793" s="212"/>
      <c r="C2793" s="211"/>
      <c r="D2793" s="212"/>
      <c r="E2793" s="269"/>
      <c r="F2793" s="269" t="s">
        <v>121</v>
      </c>
      <c r="G2793" s="270">
        <f>+SUM(G2787:G2792)</f>
        <v>13600</v>
      </c>
    </row>
    <row r="2794" spans="1:8" s="1088" customFormat="1" ht="14.25" x14ac:dyDescent="0.2">
      <c r="A2794" s="209"/>
      <c r="B2794" s="212"/>
      <c r="C2794" s="211"/>
      <c r="D2794" s="212"/>
      <c r="E2794" s="213"/>
      <c r="F2794" s="214"/>
      <c r="G2794" s="271"/>
    </row>
    <row r="2795" spans="1:8" s="1088" customFormat="1" ht="15" x14ac:dyDescent="0.25">
      <c r="A2795" s="277"/>
      <c r="B2795" s="278"/>
      <c r="C2795" s="278"/>
      <c r="D2795" s="278"/>
      <c r="E2795" s="279"/>
      <c r="F2795" s="280" t="s">
        <v>137</v>
      </c>
      <c r="G2795" s="283">
        <f>+ROUND(G2763+G2773+G2782+G2793,0)</f>
        <v>179558</v>
      </c>
    </row>
    <row r="2796" spans="1:8" ht="15" x14ac:dyDescent="0.25">
      <c r="A2796" s="58"/>
      <c r="B2796" s="54"/>
      <c r="C2796" s="54"/>
      <c r="D2796" s="54"/>
      <c r="E2796" s="55"/>
      <c r="F2796" s="103"/>
      <c r="G2796" s="291"/>
      <c r="H2796" s="134"/>
    </row>
    <row r="2797" spans="1:8" s="1088" customFormat="1" ht="15" x14ac:dyDescent="0.25">
      <c r="A2797" s="145" t="s">
        <v>160</v>
      </c>
      <c r="B2797" s="1262" t="s">
        <v>161</v>
      </c>
      <c r="C2797" s="1263"/>
      <c r="D2797" s="1263"/>
      <c r="E2797" s="1263"/>
      <c r="F2797" s="1264"/>
      <c r="G2797" s="146" t="s">
        <v>2</v>
      </c>
    </row>
    <row r="2798" spans="1:8" s="1088" customFormat="1" ht="15" x14ac:dyDescent="0.25">
      <c r="A2798" s="1050">
        <f>'FORMATO PROPUESTA ECONÓMICA'!A83</f>
        <v>8.5</v>
      </c>
      <c r="B2798" s="1265" t="str">
        <f>'FORMATO PROPUESTA ECONÓMICA'!B83</f>
        <v xml:space="preserve">Tapa rectangular antifraude EPM de 35x50 cms fundición dúctil o nodular, con nombre de empresa </v>
      </c>
      <c r="C2798" s="1266"/>
      <c r="D2798" s="1266"/>
      <c r="E2798" s="1266"/>
      <c r="F2798" s="1267"/>
      <c r="G2798" s="187" t="str">
        <f>'FORMATO PROPUESTA ECONÓMICA'!C83</f>
        <v>und</v>
      </c>
    </row>
    <row r="2799" spans="1:8" s="1088" customFormat="1" ht="14.25" x14ac:dyDescent="0.2">
      <c r="A2799" s="209"/>
      <c r="B2799" s="210"/>
      <c r="C2799" s="211"/>
      <c r="D2799" s="212"/>
      <c r="E2799" s="213"/>
      <c r="F2799" s="214"/>
      <c r="G2799" s="215"/>
    </row>
    <row r="2800" spans="1:8" s="1088" customFormat="1" ht="15" x14ac:dyDescent="0.25">
      <c r="A2800" s="216" t="s">
        <v>115</v>
      </c>
      <c r="B2800" s="212"/>
      <c r="C2800" s="211"/>
      <c r="D2800" s="212"/>
      <c r="E2800" s="213"/>
      <c r="F2800" s="214"/>
      <c r="G2800" s="215"/>
    </row>
    <row r="2801" spans="1:7" s="1088" customFormat="1" ht="14.25" x14ac:dyDescent="0.2">
      <c r="A2801" s="209"/>
      <c r="B2801" s="212"/>
      <c r="C2801" s="211"/>
      <c r="D2801" s="212"/>
      <c r="E2801" s="213"/>
      <c r="F2801" s="214"/>
      <c r="G2801" s="215"/>
    </row>
    <row r="2802" spans="1:7" s="1088" customFormat="1" ht="15" x14ac:dyDescent="0.25">
      <c r="A2802" s="1075" t="s">
        <v>116</v>
      </c>
      <c r="B2802" s="1076"/>
      <c r="C2802" s="217" t="s">
        <v>117</v>
      </c>
      <c r="D2802" s="1075" t="s">
        <v>118</v>
      </c>
      <c r="E2802" s="218" t="s">
        <v>39</v>
      </c>
      <c r="F2802" s="237" t="s">
        <v>126</v>
      </c>
      <c r="G2802" s="219" t="s">
        <v>120</v>
      </c>
    </row>
    <row r="2803" spans="1:7" s="1088" customFormat="1" ht="15" customHeight="1" x14ac:dyDescent="0.2">
      <c r="A2803" s="209"/>
      <c r="B2803" s="286"/>
      <c r="C2803" s="220"/>
      <c r="D2803" s="261"/>
      <c r="E2803" s="276"/>
      <c r="F2803" s="222"/>
      <c r="G2803" s="224"/>
    </row>
    <row r="2804" spans="1:7" s="1088" customFormat="1" ht="14.25" x14ac:dyDescent="0.2">
      <c r="A2804" s="1060"/>
      <c r="B2804" s="1068"/>
      <c r="C2804" s="225"/>
      <c r="D2804" s="221"/>
      <c r="E2804" s="226"/>
      <c r="F2804" s="227"/>
      <c r="G2804" s="228">
        <f>D2804*E2804</f>
        <v>0</v>
      </c>
    </row>
    <row r="2805" spans="1:7" s="1088" customFormat="1" ht="14.25" x14ac:dyDescent="0.2">
      <c r="A2805" s="1060"/>
      <c r="B2805" s="1068"/>
      <c r="C2805" s="229"/>
      <c r="D2805" s="221"/>
      <c r="E2805" s="226"/>
      <c r="F2805" s="227"/>
      <c r="G2805" s="228">
        <f>D2805*E2805</f>
        <v>0</v>
      </c>
    </row>
    <row r="2806" spans="1:7" s="1088" customFormat="1" ht="14.25" x14ac:dyDescent="0.2">
      <c r="A2806" s="1060"/>
      <c r="B2806" s="1068"/>
      <c r="C2806" s="225"/>
      <c r="D2806" s="221"/>
      <c r="E2806" s="226"/>
      <c r="F2806" s="227"/>
      <c r="G2806" s="228">
        <f>D2806*E2806</f>
        <v>0</v>
      </c>
    </row>
    <row r="2807" spans="1:7" s="1088" customFormat="1" ht="14.25" x14ac:dyDescent="0.2">
      <c r="A2807" s="1069"/>
      <c r="B2807" s="1070"/>
      <c r="C2807" s="230"/>
      <c r="D2807" s="231"/>
      <c r="E2807" s="232"/>
      <c r="F2807" s="233"/>
      <c r="G2807" s="228">
        <f>D2807*E2807</f>
        <v>0</v>
      </c>
    </row>
    <row r="2808" spans="1:7" s="1088" customFormat="1" ht="15" x14ac:dyDescent="0.25">
      <c r="A2808" s="1073"/>
      <c r="B2808" s="210"/>
      <c r="C2808" s="211"/>
      <c r="D2808" s="212"/>
      <c r="E2808" s="212"/>
      <c r="F2808" s="234" t="s">
        <v>121</v>
      </c>
      <c r="G2808" s="231">
        <f>+SUM(G2803:G2807)</f>
        <v>0</v>
      </c>
    </row>
    <row r="2809" spans="1:7" s="1088" customFormat="1" ht="14.25" x14ac:dyDescent="0.2">
      <c r="A2809" s="209"/>
      <c r="B2809" s="212"/>
      <c r="C2809" s="211" t="s">
        <v>123</v>
      </c>
      <c r="D2809" s="212"/>
      <c r="E2809" s="213"/>
      <c r="F2809" s="214"/>
      <c r="G2809" s="215"/>
    </row>
    <row r="2810" spans="1:7" s="1088" customFormat="1" ht="15" x14ac:dyDescent="0.25">
      <c r="A2810" s="216" t="s">
        <v>122</v>
      </c>
      <c r="B2810" s="212"/>
      <c r="C2810" s="211" t="s">
        <v>123</v>
      </c>
      <c r="D2810" s="212"/>
      <c r="E2810" s="213"/>
      <c r="F2810" s="214"/>
      <c r="G2810" s="215"/>
    </row>
    <row r="2811" spans="1:7" s="1088" customFormat="1" ht="14.25" x14ac:dyDescent="0.2">
      <c r="A2811" s="209"/>
      <c r="B2811" s="212"/>
      <c r="C2811" s="211"/>
      <c r="D2811" s="212"/>
      <c r="E2811" s="213"/>
      <c r="F2811" s="214"/>
      <c r="G2811" s="215"/>
    </row>
    <row r="2812" spans="1:7" s="1088" customFormat="1" ht="15" x14ac:dyDescent="0.25">
      <c r="A2812" s="1071" t="s">
        <v>116</v>
      </c>
      <c r="B2812" s="1072"/>
      <c r="C2812" s="235" t="s">
        <v>117</v>
      </c>
      <c r="D2812" s="236" t="s">
        <v>124</v>
      </c>
      <c r="E2812" s="236" t="s">
        <v>125</v>
      </c>
      <c r="F2812" s="237" t="s">
        <v>126</v>
      </c>
      <c r="G2812" s="238" t="s">
        <v>120</v>
      </c>
    </row>
    <row r="2813" spans="1:7" s="1088" customFormat="1" ht="28.5" x14ac:dyDescent="0.2">
      <c r="A2813" s="1066" t="s">
        <v>127</v>
      </c>
      <c r="B2813" s="1067"/>
      <c r="C2813" s="239" t="s">
        <v>128</v>
      </c>
      <c r="D2813" s="240"/>
      <c r="E2813" s="241"/>
      <c r="F2813" s="222"/>
      <c r="G2813" s="242">
        <f>G2827*0.05</f>
        <v>554.23984000000007</v>
      </c>
    </row>
    <row r="2814" spans="1:7" s="1088" customFormat="1" ht="14.25" x14ac:dyDescent="0.2">
      <c r="A2814" s="1256" t="str">
        <f>B2798</f>
        <v xml:space="preserve">Tapa rectangular antifraude EPM de 35x50 cms fundición dúctil o nodular, con nombre de empresa </v>
      </c>
      <c r="B2814" s="1257"/>
      <c r="C2814" s="220" t="s">
        <v>79</v>
      </c>
      <c r="D2814" s="261">
        <v>55000</v>
      </c>
      <c r="E2814" s="289">
        <v>1</v>
      </c>
      <c r="F2814" s="290">
        <v>1</v>
      </c>
      <c r="G2814" s="242">
        <f>D2814*F2814</f>
        <v>55000</v>
      </c>
    </row>
    <row r="2815" spans="1:7" s="1088" customFormat="1" ht="14.25" x14ac:dyDescent="0.2">
      <c r="A2815" s="1073"/>
      <c r="B2815" s="1074"/>
      <c r="C2815" s="243"/>
      <c r="D2815" s="221"/>
      <c r="E2815" s="244"/>
      <c r="F2815" s="222"/>
      <c r="G2815" s="224"/>
    </row>
    <row r="2816" spans="1:7" s="1088" customFormat="1" ht="14.25" x14ac:dyDescent="0.2">
      <c r="A2816" s="209"/>
      <c r="B2816" s="245"/>
      <c r="C2816" s="246"/>
      <c r="D2816" s="221"/>
      <c r="E2816" s="247"/>
      <c r="F2816" s="222"/>
      <c r="G2816" s="248"/>
    </row>
    <row r="2817" spans="1:7" s="1088" customFormat="1" ht="14.25" x14ac:dyDescent="0.2">
      <c r="A2817" s="249"/>
      <c r="B2817" s="250"/>
      <c r="C2817" s="251"/>
      <c r="D2817" s="252"/>
      <c r="E2817" s="253"/>
      <c r="F2817" s="254"/>
      <c r="G2817" s="255"/>
    </row>
    <row r="2818" spans="1:7" s="1088" customFormat="1" ht="15" x14ac:dyDescent="0.25">
      <c r="A2818" s="209"/>
      <c r="B2818" s="214"/>
      <c r="C2818" s="256"/>
      <c r="D2818" s="214"/>
      <c r="E2818" s="212"/>
      <c r="F2818" s="257" t="s">
        <v>121</v>
      </c>
      <c r="G2818" s="258">
        <f>+SUM(G2813:G2817)</f>
        <v>55554.239840000002</v>
      </c>
    </row>
    <row r="2819" spans="1:7" s="1088" customFormat="1" ht="14.25" x14ac:dyDescent="0.2">
      <c r="A2819" s="209"/>
      <c r="B2819" s="212"/>
      <c r="C2819" s="211"/>
      <c r="D2819" s="212"/>
      <c r="E2819" s="213"/>
      <c r="F2819" s="212"/>
      <c r="G2819" s="215"/>
    </row>
    <row r="2820" spans="1:7" s="1088" customFormat="1" ht="15" x14ac:dyDescent="0.25">
      <c r="A2820" s="216" t="s">
        <v>130</v>
      </c>
      <c r="B2820" s="212"/>
      <c r="C2820" s="211"/>
      <c r="D2820" s="212"/>
      <c r="E2820" s="213"/>
      <c r="F2820" s="214"/>
      <c r="G2820" s="215"/>
    </row>
    <row r="2821" spans="1:7" s="1088" customFormat="1" ht="14.25" x14ac:dyDescent="0.2">
      <c r="A2821" s="209"/>
      <c r="B2821" s="212"/>
      <c r="C2821" s="211"/>
      <c r="D2821" s="212"/>
      <c r="E2821" s="213"/>
      <c r="F2821" s="214"/>
      <c r="G2821" s="215"/>
    </row>
    <row r="2822" spans="1:7" s="1088" customFormat="1" ht="15" x14ac:dyDescent="0.25">
      <c r="A2822" s="1071" t="s">
        <v>116</v>
      </c>
      <c r="B2822" s="1072"/>
      <c r="C2822" s="236" t="s">
        <v>131</v>
      </c>
      <c r="D2822" s="235" t="s">
        <v>132</v>
      </c>
      <c r="E2822" s="236" t="s">
        <v>133</v>
      </c>
      <c r="F2822" s="293" t="s">
        <v>126</v>
      </c>
      <c r="G2822" s="238" t="s">
        <v>134</v>
      </c>
    </row>
    <row r="2823" spans="1:7" s="1088" customFormat="1" ht="14.25" x14ac:dyDescent="0.2">
      <c r="A2823" s="209" t="s">
        <v>10</v>
      </c>
      <c r="B2823" s="259"/>
      <c r="C2823" s="260">
        <f>M2</f>
        <v>22981.8</v>
      </c>
      <c r="D2823" s="261">
        <f>N2</f>
        <v>1.76</v>
      </c>
      <c r="E2823" s="294">
        <f>C2823*D2823</f>
        <v>40447.968000000001</v>
      </c>
      <c r="F2823" s="295">
        <f>1/10</f>
        <v>0.1</v>
      </c>
      <c r="G2823" s="271">
        <f>F2823*E2823</f>
        <v>4044.7968000000001</v>
      </c>
    </row>
    <row r="2824" spans="1:7" s="1088" customFormat="1" ht="14.25" x14ac:dyDescent="0.2">
      <c r="A2824" s="209" t="s">
        <v>140</v>
      </c>
      <c r="B2824" s="259"/>
      <c r="C2824" s="260">
        <f>M3</f>
        <v>40000</v>
      </c>
      <c r="D2824" s="261">
        <f>N3</f>
        <v>1.76</v>
      </c>
      <c r="E2824" s="294">
        <f>C2824*D2824</f>
        <v>70400</v>
      </c>
      <c r="F2824" s="295">
        <f>1/10</f>
        <v>0.1</v>
      </c>
      <c r="G2824" s="271">
        <f>F2824*E2824</f>
        <v>7040</v>
      </c>
    </row>
    <row r="2825" spans="1:7" s="1088" customFormat="1" ht="14.25" x14ac:dyDescent="0.2">
      <c r="A2825" s="209"/>
      <c r="B2825" s="245"/>
      <c r="C2825" s="265"/>
      <c r="D2825" s="246"/>
      <c r="E2825" s="265"/>
      <c r="F2825" s="266"/>
      <c r="G2825" s="267"/>
    </row>
    <row r="2826" spans="1:7" s="1088" customFormat="1" ht="14.25" x14ac:dyDescent="0.2">
      <c r="A2826" s="249"/>
      <c r="B2826" s="250"/>
      <c r="C2826" s="252"/>
      <c r="D2826" s="251"/>
      <c r="E2826" s="252"/>
      <c r="F2826" s="254"/>
      <c r="G2826" s="268"/>
    </row>
    <row r="2827" spans="1:7" s="1088" customFormat="1" ht="15" x14ac:dyDescent="0.25">
      <c r="A2827" s="209"/>
      <c r="B2827" s="212"/>
      <c r="C2827" s="211"/>
      <c r="D2827" s="212"/>
      <c r="E2827" s="269"/>
      <c r="F2827" s="269" t="s">
        <v>121</v>
      </c>
      <c r="G2827" s="270">
        <f>+SUM(G2823:G2826)</f>
        <v>11084.7968</v>
      </c>
    </row>
    <row r="2828" spans="1:7" s="1088" customFormat="1" ht="15" x14ac:dyDescent="0.25">
      <c r="A2828" s="209"/>
      <c r="B2828" s="212"/>
      <c r="C2828" s="211"/>
      <c r="D2828" s="212"/>
      <c r="E2828" s="257"/>
      <c r="F2828" s="257"/>
      <c r="G2828" s="271"/>
    </row>
    <row r="2829" spans="1:7" s="1088" customFormat="1" ht="15" x14ac:dyDescent="0.25">
      <c r="A2829" s="216" t="s">
        <v>135</v>
      </c>
      <c r="B2829" s="212"/>
      <c r="C2829" s="211"/>
      <c r="D2829" s="212"/>
      <c r="E2829" s="213"/>
      <c r="F2829" s="214"/>
      <c r="G2829" s="215"/>
    </row>
    <row r="2830" spans="1:7" s="1088" customFormat="1" ht="14.25" x14ac:dyDescent="0.2">
      <c r="A2830" s="209"/>
      <c r="B2830" s="212"/>
      <c r="C2830" s="211"/>
      <c r="D2830" s="212"/>
      <c r="E2830" s="213"/>
      <c r="F2830" s="214"/>
      <c r="G2830" s="215"/>
    </row>
    <row r="2831" spans="1:7" s="1088" customFormat="1" ht="15" x14ac:dyDescent="0.25">
      <c r="A2831" s="1071" t="s">
        <v>116</v>
      </c>
      <c r="B2831" s="1072"/>
      <c r="C2831" s="236" t="s">
        <v>117</v>
      </c>
      <c r="D2831" s="235" t="s">
        <v>136</v>
      </c>
      <c r="E2831" s="236" t="s">
        <v>124</v>
      </c>
      <c r="F2831" s="237" t="s">
        <v>126</v>
      </c>
      <c r="G2831" s="238" t="s">
        <v>134</v>
      </c>
    </row>
    <row r="2832" spans="1:7" s="1088" customFormat="1" ht="14.25" x14ac:dyDescent="0.2">
      <c r="A2832" s="209" t="s">
        <v>175</v>
      </c>
      <c r="B2832" s="286"/>
      <c r="C2832" s="287" t="s">
        <v>79</v>
      </c>
      <c r="D2832" s="261"/>
      <c r="E2832" s="276">
        <v>68000</v>
      </c>
      <c r="F2832" s="222">
        <f>1/5</f>
        <v>0.2</v>
      </c>
      <c r="G2832" s="224">
        <f>F2832*E2832</f>
        <v>13600</v>
      </c>
    </row>
    <row r="2833" spans="1:8" s="1088" customFormat="1" ht="14.25" x14ac:dyDescent="0.2">
      <c r="A2833" s="209"/>
      <c r="B2833" s="275"/>
      <c r="C2833" s="260"/>
      <c r="D2833" s="261"/>
      <c r="E2833" s="276"/>
      <c r="F2833" s="222"/>
      <c r="G2833" s="224"/>
    </row>
    <row r="2834" spans="1:8" s="1088" customFormat="1" ht="14.25" x14ac:dyDescent="0.2">
      <c r="A2834" s="209"/>
      <c r="B2834" s="259"/>
      <c r="C2834" s="260"/>
      <c r="D2834" s="261"/>
      <c r="E2834" s="276"/>
      <c r="F2834" s="222"/>
      <c r="G2834" s="224"/>
    </row>
    <row r="2835" spans="1:8" s="1088" customFormat="1" ht="14.25" x14ac:dyDescent="0.2">
      <c r="A2835" s="209"/>
      <c r="B2835" s="259"/>
      <c r="C2835" s="260"/>
      <c r="D2835" s="261"/>
      <c r="E2835" s="276"/>
      <c r="F2835" s="222"/>
      <c r="G2835" s="224"/>
    </row>
    <row r="2836" spans="1:8" s="1088" customFormat="1" ht="14.25" x14ac:dyDescent="0.2">
      <c r="A2836" s="209"/>
      <c r="B2836" s="245"/>
      <c r="C2836" s="265"/>
      <c r="D2836" s="246"/>
      <c r="E2836" s="265"/>
      <c r="F2836" s="266"/>
      <c r="G2836" s="267"/>
    </row>
    <row r="2837" spans="1:8" s="1088" customFormat="1" ht="14.25" x14ac:dyDescent="0.2">
      <c r="A2837" s="249"/>
      <c r="B2837" s="250"/>
      <c r="C2837" s="252"/>
      <c r="D2837" s="251"/>
      <c r="E2837" s="252"/>
      <c r="F2837" s="254"/>
      <c r="G2837" s="268"/>
    </row>
    <row r="2838" spans="1:8" s="1088" customFormat="1" ht="15" x14ac:dyDescent="0.25">
      <c r="A2838" s="209"/>
      <c r="B2838" s="212"/>
      <c r="C2838" s="211"/>
      <c r="D2838" s="212"/>
      <c r="E2838" s="269"/>
      <c r="F2838" s="269" t="s">
        <v>121</v>
      </c>
      <c r="G2838" s="270">
        <f>+SUM(G2832:G2837)</f>
        <v>13600</v>
      </c>
    </row>
    <row r="2839" spans="1:8" s="1088" customFormat="1" ht="14.25" x14ac:dyDescent="0.2">
      <c r="A2839" s="209"/>
      <c r="B2839" s="212"/>
      <c r="C2839" s="211"/>
      <c r="D2839" s="212"/>
      <c r="E2839" s="213"/>
      <c r="F2839" s="214"/>
      <c r="G2839" s="271"/>
    </row>
    <row r="2840" spans="1:8" s="1088" customFormat="1" ht="15" x14ac:dyDescent="0.25">
      <c r="A2840" s="277"/>
      <c r="B2840" s="278"/>
      <c r="C2840" s="278"/>
      <c r="D2840" s="278"/>
      <c r="E2840" s="279"/>
      <c r="F2840" s="280" t="s">
        <v>137</v>
      </c>
      <c r="G2840" s="283">
        <f>+ROUND(G2808+G2818+G2827+G2838,0)</f>
        <v>80239</v>
      </c>
    </row>
    <row r="2841" spans="1:8" ht="15" x14ac:dyDescent="0.25">
      <c r="A2841" s="58"/>
      <c r="B2841" s="54"/>
      <c r="C2841" s="54"/>
      <c r="D2841" s="54"/>
      <c r="E2841" s="55"/>
      <c r="F2841" s="103"/>
      <c r="G2841" s="291"/>
      <c r="H2841" s="134"/>
    </row>
    <row r="2842" spans="1:8" s="1088" customFormat="1" ht="15" x14ac:dyDescent="0.25">
      <c r="A2842" s="145" t="s">
        <v>160</v>
      </c>
      <c r="B2842" s="1262" t="s">
        <v>161</v>
      </c>
      <c r="C2842" s="1263"/>
      <c r="D2842" s="1263"/>
      <c r="E2842" s="1263"/>
      <c r="F2842" s="1264"/>
      <c r="G2842" s="146" t="s">
        <v>2</v>
      </c>
    </row>
    <row r="2843" spans="1:8" s="1088" customFormat="1" ht="15" x14ac:dyDescent="0.25">
      <c r="A2843" s="1050">
        <f>'FORMATO PROPUESTA ECONÓMICA'!A84</f>
        <v>8.6</v>
      </c>
      <c r="B2843" s="1265" t="str">
        <f>'FORMATO PROPUESTA ECONÓMICA'!B84</f>
        <v>Brida loca HD d= 2"</v>
      </c>
      <c r="C2843" s="1266"/>
      <c r="D2843" s="1266"/>
      <c r="E2843" s="1266"/>
      <c r="F2843" s="1267"/>
      <c r="G2843" s="187" t="str">
        <f>'FORMATO PROPUESTA ECONÓMICA'!C84</f>
        <v>und</v>
      </c>
    </row>
    <row r="2844" spans="1:8" s="1088" customFormat="1" ht="14.25" x14ac:dyDescent="0.2">
      <c r="A2844" s="209"/>
      <c r="B2844" s="210"/>
      <c r="C2844" s="211"/>
      <c r="D2844" s="212"/>
      <c r="E2844" s="213"/>
      <c r="F2844" s="214"/>
      <c r="G2844" s="215"/>
    </row>
    <row r="2845" spans="1:8" s="1088" customFormat="1" ht="15" x14ac:dyDescent="0.25">
      <c r="A2845" s="216" t="s">
        <v>115</v>
      </c>
      <c r="B2845" s="212"/>
      <c r="C2845" s="211"/>
      <c r="D2845" s="212"/>
      <c r="E2845" s="213"/>
      <c r="F2845" s="214"/>
      <c r="G2845" s="215"/>
    </row>
    <row r="2846" spans="1:8" s="1088" customFormat="1" ht="14.25" x14ac:dyDescent="0.2">
      <c r="A2846" s="209"/>
      <c r="B2846" s="212"/>
      <c r="C2846" s="211"/>
      <c r="D2846" s="212"/>
      <c r="E2846" s="213"/>
      <c r="F2846" s="214"/>
      <c r="G2846" s="215"/>
    </row>
    <row r="2847" spans="1:8" s="1088" customFormat="1" ht="15" x14ac:dyDescent="0.25">
      <c r="A2847" s="1075" t="s">
        <v>116</v>
      </c>
      <c r="B2847" s="1076"/>
      <c r="C2847" s="217" t="s">
        <v>117</v>
      </c>
      <c r="D2847" s="1075" t="s">
        <v>118</v>
      </c>
      <c r="E2847" s="218" t="s">
        <v>39</v>
      </c>
      <c r="F2847" s="237" t="s">
        <v>126</v>
      </c>
      <c r="G2847" s="219" t="s">
        <v>120</v>
      </c>
    </row>
    <row r="2848" spans="1:8" s="1088" customFormat="1" ht="15" customHeight="1" x14ac:dyDescent="0.2">
      <c r="A2848" s="209"/>
      <c r="B2848" s="286"/>
      <c r="C2848" s="220"/>
      <c r="D2848" s="261"/>
      <c r="E2848" s="276"/>
      <c r="F2848" s="222"/>
      <c r="G2848" s="224"/>
    </row>
    <row r="2849" spans="1:7" s="1088" customFormat="1" ht="28.5" x14ac:dyDescent="0.2">
      <c r="A2849" s="1060" t="str">
        <f>B2843</f>
        <v>Brida loca HD d= 2"</v>
      </c>
      <c r="B2849" s="1068"/>
      <c r="C2849" s="225"/>
      <c r="D2849" s="221"/>
      <c r="E2849" s="226"/>
      <c r="F2849" s="227"/>
      <c r="G2849" s="228">
        <f>D2849*E2849</f>
        <v>0</v>
      </c>
    </row>
    <row r="2850" spans="1:7" s="1088" customFormat="1" ht="14.25" x14ac:dyDescent="0.2">
      <c r="A2850" s="1060"/>
      <c r="B2850" s="1068"/>
      <c r="C2850" s="229"/>
      <c r="D2850" s="221"/>
      <c r="E2850" s="226"/>
      <c r="F2850" s="227"/>
      <c r="G2850" s="228">
        <f>D2850*E2850</f>
        <v>0</v>
      </c>
    </row>
    <row r="2851" spans="1:7" s="1088" customFormat="1" ht="14.25" x14ac:dyDescent="0.2">
      <c r="A2851" s="1060"/>
      <c r="B2851" s="1068"/>
      <c r="C2851" s="225"/>
      <c r="D2851" s="221"/>
      <c r="E2851" s="226"/>
      <c r="F2851" s="227"/>
      <c r="G2851" s="228">
        <f>D2851*E2851</f>
        <v>0</v>
      </c>
    </row>
    <row r="2852" spans="1:7" s="1088" customFormat="1" ht="14.25" x14ac:dyDescent="0.2">
      <c r="A2852" s="1069"/>
      <c r="B2852" s="1070"/>
      <c r="C2852" s="230"/>
      <c r="D2852" s="231"/>
      <c r="E2852" s="232"/>
      <c r="F2852" s="233"/>
      <c r="G2852" s="228">
        <f>D2852*E2852</f>
        <v>0</v>
      </c>
    </row>
    <row r="2853" spans="1:7" s="1088" customFormat="1" ht="15" x14ac:dyDescent="0.25">
      <c r="A2853" s="1073"/>
      <c r="B2853" s="210"/>
      <c r="C2853" s="211"/>
      <c r="D2853" s="212"/>
      <c r="E2853" s="212"/>
      <c r="F2853" s="234" t="s">
        <v>121</v>
      </c>
      <c r="G2853" s="231">
        <f>+SUM(G2848:G2852)</f>
        <v>0</v>
      </c>
    </row>
    <row r="2854" spans="1:7" s="1088" customFormat="1" ht="14.25" x14ac:dyDescent="0.2">
      <c r="A2854" s="209"/>
      <c r="B2854" s="212"/>
      <c r="C2854" s="211" t="s">
        <v>123</v>
      </c>
      <c r="D2854" s="212"/>
      <c r="E2854" s="213"/>
      <c r="F2854" s="214"/>
      <c r="G2854" s="215"/>
    </row>
    <row r="2855" spans="1:7" s="1088" customFormat="1" ht="15" x14ac:dyDescent="0.25">
      <c r="A2855" s="216" t="s">
        <v>122</v>
      </c>
      <c r="B2855" s="212"/>
      <c r="C2855" s="211" t="s">
        <v>123</v>
      </c>
      <c r="D2855" s="212"/>
      <c r="E2855" s="213"/>
      <c r="F2855" s="214"/>
      <c r="G2855" s="215"/>
    </row>
    <row r="2856" spans="1:7" s="1088" customFormat="1" ht="14.25" x14ac:dyDescent="0.2">
      <c r="A2856" s="209"/>
      <c r="B2856" s="212"/>
      <c r="C2856" s="211"/>
      <c r="D2856" s="212"/>
      <c r="E2856" s="213"/>
      <c r="F2856" s="214"/>
      <c r="G2856" s="215"/>
    </row>
    <row r="2857" spans="1:7" s="1088" customFormat="1" ht="15" x14ac:dyDescent="0.25">
      <c r="A2857" s="1071" t="s">
        <v>116</v>
      </c>
      <c r="B2857" s="1072"/>
      <c r="C2857" s="235" t="s">
        <v>117</v>
      </c>
      <c r="D2857" s="236" t="s">
        <v>124</v>
      </c>
      <c r="E2857" s="236" t="s">
        <v>125</v>
      </c>
      <c r="F2857" s="237" t="s">
        <v>126</v>
      </c>
      <c r="G2857" s="238" t="s">
        <v>120</v>
      </c>
    </row>
    <row r="2858" spans="1:7" s="1088" customFormat="1" ht="28.5" x14ac:dyDescent="0.2">
      <c r="A2858" s="1066" t="s">
        <v>127</v>
      </c>
      <c r="B2858" s="1067"/>
      <c r="C2858" s="239" t="s">
        <v>128</v>
      </c>
      <c r="D2858" s="240"/>
      <c r="E2858" s="241"/>
      <c r="F2858" s="222"/>
      <c r="G2858" s="242">
        <f>G2872*0.05</f>
        <v>808.95936000000006</v>
      </c>
    </row>
    <row r="2859" spans="1:7" s="1088" customFormat="1" ht="14.25" x14ac:dyDescent="0.2">
      <c r="A2859" s="1256" t="str">
        <f>B2843</f>
        <v>Brida loca HD d= 2"</v>
      </c>
      <c r="B2859" s="1257"/>
      <c r="C2859" s="220" t="s">
        <v>79</v>
      </c>
      <c r="D2859" s="261">
        <v>37758</v>
      </c>
      <c r="E2859" s="289">
        <v>1</v>
      </c>
      <c r="F2859" s="290">
        <v>1</v>
      </c>
      <c r="G2859" s="242">
        <f>D2859*F2859</f>
        <v>37758</v>
      </c>
    </row>
    <row r="2860" spans="1:7" s="1088" customFormat="1" ht="14.25" x14ac:dyDescent="0.2">
      <c r="A2860" s="1073"/>
      <c r="B2860" s="1074"/>
      <c r="C2860" s="243"/>
      <c r="D2860" s="221"/>
      <c r="E2860" s="244"/>
      <c r="F2860" s="222"/>
      <c r="G2860" s="224"/>
    </row>
    <row r="2861" spans="1:7" s="1088" customFormat="1" ht="14.25" x14ac:dyDescent="0.2">
      <c r="A2861" s="209"/>
      <c r="B2861" s="245"/>
      <c r="C2861" s="246"/>
      <c r="D2861" s="221"/>
      <c r="E2861" s="247"/>
      <c r="F2861" s="222"/>
      <c r="G2861" s="248"/>
    </row>
    <row r="2862" spans="1:7" s="1088" customFormat="1" ht="14.25" x14ac:dyDescent="0.2">
      <c r="A2862" s="249"/>
      <c r="B2862" s="250"/>
      <c r="C2862" s="251"/>
      <c r="D2862" s="252"/>
      <c r="E2862" s="253"/>
      <c r="F2862" s="254"/>
      <c r="G2862" s="255"/>
    </row>
    <row r="2863" spans="1:7" s="1088" customFormat="1" ht="15" x14ac:dyDescent="0.25">
      <c r="A2863" s="209"/>
      <c r="B2863" s="214"/>
      <c r="C2863" s="256"/>
      <c r="D2863" s="214"/>
      <c r="E2863" s="212"/>
      <c r="F2863" s="257" t="s">
        <v>121</v>
      </c>
      <c r="G2863" s="258">
        <f>+SUM(G2858:G2862)</f>
        <v>38566.959360000001</v>
      </c>
    </row>
    <row r="2864" spans="1:7" s="1088" customFormat="1" ht="14.25" x14ac:dyDescent="0.2">
      <c r="A2864" s="209"/>
      <c r="B2864" s="212"/>
      <c r="C2864" s="211"/>
      <c r="D2864" s="212"/>
      <c r="E2864" s="213"/>
      <c r="F2864" s="212"/>
      <c r="G2864" s="215"/>
    </row>
    <row r="2865" spans="1:7" s="1088" customFormat="1" ht="15" x14ac:dyDescent="0.25">
      <c r="A2865" s="216" t="s">
        <v>130</v>
      </c>
      <c r="B2865" s="212"/>
      <c r="C2865" s="211"/>
      <c r="D2865" s="212"/>
      <c r="E2865" s="213"/>
      <c r="F2865" s="214"/>
      <c r="G2865" s="215"/>
    </row>
    <row r="2866" spans="1:7" s="1088" customFormat="1" ht="14.25" x14ac:dyDescent="0.2">
      <c r="A2866" s="209"/>
      <c r="B2866" s="212"/>
      <c r="C2866" s="211"/>
      <c r="D2866" s="212"/>
      <c r="E2866" s="213"/>
      <c r="F2866" s="214"/>
      <c r="G2866" s="215"/>
    </row>
    <row r="2867" spans="1:7" s="1088" customFormat="1" ht="15" x14ac:dyDescent="0.25">
      <c r="A2867" s="1071" t="s">
        <v>116</v>
      </c>
      <c r="B2867" s="1072"/>
      <c r="C2867" s="236" t="s">
        <v>131</v>
      </c>
      <c r="D2867" s="235" t="s">
        <v>132</v>
      </c>
      <c r="E2867" s="236" t="s">
        <v>133</v>
      </c>
      <c r="F2867" s="237" t="s">
        <v>126</v>
      </c>
      <c r="G2867" s="238" t="s">
        <v>134</v>
      </c>
    </row>
    <row r="2868" spans="1:7" s="1088" customFormat="1" ht="14.25" x14ac:dyDescent="0.2">
      <c r="A2868" s="209" t="s">
        <v>10</v>
      </c>
      <c r="B2868" s="259"/>
      <c r="C2868" s="260">
        <f>M2</f>
        <v>22981.8</v>
      </c>
      <c r="D2868" s="261">
        <f>N2</f>
        <v>1.76</v>
      </c>
      <c r="E2868" s="276">
        <f>C2868*D2868</f>
        <v>40447.968000000001</v>
      </c>
      <c r="F2868" s="222">
        <f>1/5</f>
        <v>0.2</v>
      </c>
      <c r="G2868" s="224">
        <f>F2868*E2868</f>
        <v>8089.5936000000002</v>
      </c>
    </row>
    <row r="2869" spans="1:7" s="1088" customFormat="1" ht="14.25" x14ac:dyDescent="0.2">
      <c r="A2869" s="209" t="s">
        <v>140</v>
      </c>
      <c r="B2869" s="259"/>
      <c r="C2869" s="260">
        <f>M2</f>
        <v>22981.8</v>
      </c>
      <c r="D2869" s="261">
        <f>N3</f>
        <v>1.76</v>
      </c>
      <c r="E2869" s="276">
        <f>C2869*D2869</f>
        <v>40447.968000000001</v>
      </c>
      <c r="F2869" s="222">
        <f>1/5</f>
        <v>0.2</v>
      </c>
      <c r="G2869" s="224">
        <f>F2869*E2869</f>
        <v>8089.5936000000002</v>
      </c>
    </row>
    <row r="2870" spans="1:7" s="1088" customFormat="1" ht="14.25" x14ac:dyDescent="0.2">
      <c r="A2870" s="209"/>
      <c r="B2870" s="245"/>
      <c r="C2870" s="265"/>
      <c r="D2870" s="246"/>
      <c r="E2870" s="265"/>
      <c r="F2870" s="266"/>
      <c r="G2870" s="267"/>
    </row>
    <row r="2871" spans="1:7" s="1088" customFormat="1" ht="14.25" x14ac:dyDescent="0.2">
      <c r="A2871" s="249"/>
      <c r="B2871" s="250"/>
      <c r="C2871" s="252"/>
      <c r="D2871" s="251"/>
      <c r="E2871" s="252"/>
      <c r="F2871" s="254"/>
      <c r="G2871" s="268"/>
    </row>
    <row r="2872" spans="1:7" s="1088" customFormat="1" ht="15" x14ac:dyDescent="0.25">
      <c r="A2872" s="209"/>
      <c r="B2872" s="212"/>
      <c r="C2872" s="211"/>
      <c r="D2872" s="212"/>
      <c r="E2872" s="269"/>
      <c r="F2872" s="269" t="s">
        <v>121</v>
      </c>
      <c r="G2872" s="270">
        <f>+SUM(G2868:G2871)</f>
        <v>16179.1872</v>
      </c>
    </row>
    <row r="2873" spans="1:7" s="1088" customFormat="1" ht="15" x14ac:dyDescent="0.25">
      <c r="A2873" s="209"/>
      <c r="B2873" s="212"/>
      <c r="C2873" s="211"/>
      <c r="D2873" s="212"/>
      <c r="E2873" s="257"/>
      <c r="F2873" s="257"/>
      <c r="G2873" s="271"/>
    </row>
    <row r="2874" spans="1:7" s="1088" customFormat="1" ht="15" x14ac:dyDescent="0.25">
      <c r="A2874" s="216" t="s">
        <v>135</v>
      </c>
      <c r="B2874" s="212"/>
      <c r="C2874" s="211"/>
      <c r="D2874" s="212"/>
      <c r="E2874" s="213"/>
      <c r="F2874" s="214"/>
      <c r="G2874" s="215"/>
    </row>
    <row r="2875" spans="1:7" s="1088" customFormat="1" ht="14.25" x14ac:dyDescent="0.2">
      <c r="A2875" s="209"/>
      <c r="B2875" s="212"/>
      <c r="C2875" s="211"/>
      <c r="D2875" s="212"/>
      <c r="E2875" s="213"/>
      <c r="F2875" s="214"/>
      <c r="G2875" s="215"/>
    </row>
    <row r="2876" spans="1:7" s="1088" customFormat="1" ht="15" x14ac:dyDescent="0.25">
      <c r="A2876" s="1071" t="s">
        <v>116</v>
      </c>
      <c r="B2876" s="1072"/>
      <c r="C2876" s="236" t="s">
        <v>117</v>
      </c>
      <c r="D2876" s="235" t="s">
        <v>136</v>
      </c>
      <c r="E2876" s="236" t="s">
        <v>124</v>
      </c>
      <c r="F2876" s="237" t="s">
        <v>126</v>
      </c>
      <c r="G2876" s="238" t="s">
        <v>134</v>
      </c>
    </row>
    <row r="2877" spans="1:7" s="1088" customFormat="1" ht="14.25" x14ac:dyDescent="0.2">
      <c r="A2877" s="209" t="s">
        <v>175</v>
      </c>
      <c r="B2877" s="286"/>
      <c r="C2877" s="287" t="s">
        <v>79</v>
      </c>
      <c r="D2877" s="261"/>
      <c r="E2877" s="276">
        <v>68000</v>
      </c>
      <c r="F2877" s="222">
        <f>1/15</f>
        <v>6.6666666666666666E-2</v>
      </c>
      <c r="G2877" s="224">
        <f>F2877*E2877</f>
        <v>4533.333333333333</v>
      </c>
    </row>
    <row r="2878" spans="1:7" s="1088" customFormat="1" ht="14.25" x14ac:dyDescent="0.2">
      <c r="A2878" s="209"/>
      <c r="B2878" s="275"/>
      <c r="C2878" s="260"/>
      <c r="D2878" s="261"/>
      <c r="E2878" s="276"/>
      <c r="F2878" s="222"/>
      <c r="G2878" s="224"/>
    </row>
    <row r="2879" spans="1:7" s="1088" customFormat="1" ht="14.25" x14ac:dyDescent="0.2">
      <c r="A2879" s="209"/>
      <c r="B2879" s="259"/>
      <c r="C2879" s="260"/>
      <c r="D2879" s="261"/>
      <c r="E2879" s="276"/>
      <c r="F2879" s="222"/>
      <c r="G2879" s="224"/>
    </row>
    <row r="2880" spans="1:7" s="1088" customFormat="1" ht="14.25" x14ac:dyDescent="0.2">
      <c r="A2880" s="209"/>
      <c r="B2880" s="259"/>
      <c r="C2880" s="260"/>
      <c r="D2880" s="261"/>
      <c r="E2880" s="276"/>
      <c r="F2880" s="222"/>
      <c r="G2880" s="224"/>
    </row>
    <row r="2881" spans="1:8" s="1088" customFormat="1" ht="14.25" x14ac:dyDescent="0.2">
      <c r="A2881" s="209"/>
      <c r="B2881" s="245"/>
      <c r="C2881" s="265"/>
      <c r="D2881" s="246"/>
      <c r="E2881" s="265"/>
      <c r="F2881" s="266"/>
      <c r="G2881" s="267"/>
    </row>
    <row r="2882" spans="1:8" s="1088" customFormat="1" ht="14.25" x14ac:dyDescent="0.2">
      <c r="A2882" s="249"/>
      <c r="B2882" s="250"/>
      <c r="C2882" s="252"/>
      <c r="D2882" s="251"/>
      <c r="E2882" s="252"/>
      <c r="F2882" s="254"/>
      <c r="G2882" s="268"/>
    </row>
    <row r="2883" spans="1:8" s="1088" customFormat="1" ht="15" x14ac:dyDescent="0.25">
      <c r="A2883" s="209"/>
      <c r="B2883" s="212"/>
      <c r="C2883" s="211"/>
      <c r="D2883" s="212"/>
      <c r="E2883" s="269"/>
      <c r="F2883" s="269" t="s">
        <v>121</v>
      </c>
      <c r="G2883" s="270">
        <f>+SUM(G2877:G2882)</f>
        <v>4533.333333333333</v>
      </c>
    </row>
    <row r="2884" spans="1:8" s="1088" customFormat="1" ht="14.25" x14ac:dyDescent="0.2">
      <c r="A2884" s="209"/>
      <c r="B2884" s="212"/>
      <c r="C2884" s="211"/>
      <c r="D2884" s="212"/>
      <c r="E2884" s="213"/>
      <c r="F2884" s="214"/>
      <c r="G2884" s="271"/>
    </row>
    <row r="2885" spans="1:8" s="1088" customFormat="1" ht="15" x14ac:dyDescent="0.25">
      <c r="A2885" s="277"/>
      <c r="B2885" s="278"/>
      <c r="C2885" s="278"/>
      <c r="D2885" s="278"/>
      <c r="E2885" s="279"/>
      <c r="F2885" s="280" t="s">
        <v>137</v>
      </c>
      <c r="G2885" s="283">
        <f>+ROUND(G2853+G2863+G2872+G2883,0)</f>
        <v>59279</v>
      </c>
    </row>
    <row r="2886" spans="1:8" ht="15" x14ac:dyDescent="0.25">
      <c r="A2886" s="58"/>
      <c r="B2886" s="54"/>
      <c r="C2886" s="54"/>
      <c r="D2886" s="54"/>
      <c r="E2886" s="55"/>
      <c r="F2886" s="103"/>
      <c r="G2886" s="291"/>
      <c r="H2886" s="134"/>
    </row>
    <row r="2887" spans="1:8" s="1088" customFormat="1" ht="15" x14ac:dyDescent="0.25">
      <c r="A2887" s="145" t="s">
        <v>160</v>
      </c>
      <c r="B2887" s="1262" t="s">
        <v>161</v>
      </c>
      <c r="C2887" s="1263"/>
      <c r="D2887" s="1263"/>
      <c r="E2887" s="1263"/>
      <c r="F2887" s="1264"/>
      <c r="G2887" s="146" t="s">
        <v>2</v>
      </c>
    </row>
    <row r="2888" spans="1:8" s="1088" customFormat="1" ht="15" x14ac:dyDescent="0.25">
      <c r="A2888" s="1050">
        <f>'FORMATO PROPUESTA ECONÓMICA'!A85</f>
        <v>8.6999999999999993</v>
      </c>
      <c r="B2888" s="1265" t="str">
        <f>'FORMATO PROPUESTA ECONÓMICA'!B85</f>
        <v>Brida loca HD d= 3"</v>
      </c>
      <c r="C2888" s="1266"/>
      <c r="D2888" s="1266"/>
      <c r="E2888" s="1266"/>
      <c r="F2888" s="1267"/>
      <c r="G2888" s="187" t="str">
        <f>'FORMATO PROPUESTA ECONÓMICA'!C85</f>
        <v>und</v>
      </c>
    </row>
    <row r="2889" spans="1:8" s="1088" customFormat="1" ht="14.25" x14ac:dyDescent="0.2">
      <c r="A2889" s="209"/>
      <c r="B2889" s="210"/>
      <c r="C2889" s="211"/>
      <c r="D2889" s="212"/>
      <c r="E2889" s="213"/>
      <c r="F2889" s="214"/>
      <c r="G2889" s="215"/>
    </row>
    <row r="2890" spans="1:8" s="1088" customFormat="1" ht="15" x14ac:dyDescent="0.25">
      <c r="A2890" s="216" t="s">
        <v>115</v>
      </c>
      <c r="B2890" s="212"/>
      <c r="C2890" s="211"/>
      <c r="D2890" s="212"/>
      <c r="E2890" s="213"/>
      <c r="F2890" s="214"/>
      <c r="G2890" s="215"/>
    </row>
    <row r="2891" spans="1:8" s="1088" customFormat="1" ht="14.25" x14ac:dyDescent="0.2">
      <c r="A2891" s="209"/>
      <c r="B2891" s="212"/>
      <c r="C2891" s="211"/>
      <c r="D2891" s="212"/>
      <c r="E2891" s="213"/>
      <c r="F2891" s="214"/>
      <c r="G2891" s="215"/>
    </row>
    <row r="2892" spans="1:8" s="1088" customFormat="1" ht="15" x14ac:dyDescent="0.25">
      <c r="A2892" s="1075" t="s">
        <v>116</v>
      </c>
      <c r="B2892" s="1076"/>
      <c r="C2892" s="217" t="s">
        <v>117</v>
      </c>
      <c r="D2892" s="1075" t="s">
        <v>118</v>
      </c>
      <c r="E2892" s="218" t="s">
        <v>39</v>
      </c>
      <c r="F2892" s="237" t="s">
        <v>126</v>
      </c>
      <c r="G2892" s="219" t="s">
        <v>120</v>
      </c>
    </row>
    <row r="2893" spans="1:8" s="1088" customFormat="1" ht="15" customHeight="1" x14ac:dyDescent="0.2">
      <c r="A2893" s="209"/>
      <c r="B2893" s="286"/>
      <c r="C2893" s="220"/>
      <c r="D2893" s="261"/>
      <c r="E2893" s="276"/>
      <c r="F2893" s="222"/>
      <c r="G2893" s="224"/>
    </row>
    <row r="2894" spans="1:8" s="1088" customFormat="1" ht="28.5" x14ac:dyDescent="0.2">
      <c r="A2894" s="1060" t="str">
        <f>B2888</f>
        <v>Brida loca HD d= 3"</v>
      </c>
      <c r="B2894" s="1068"/>
      <c r="C2894" s="225" t="s">
        <v>79</v>
      </c>
      <c r="D2894" s="221">
        <v>45491</v>
      </c>
      <c r="E2894" s="226">
        <v>1</v>
      </c>
      <c r="F2894" s="227"/>
      <c r="G2894" s="228">
        <f>D2894*E2894</f>
        <v>45491</v>
      </c>
    </row>
    <row r="2895" spans="1:8" s="1088" customFormat="1" ht="14.25" x14ac:dyDescent="0.2">
      <c r="A2895" s="1060"/>
      <c r="B2895" s="1068"/>
      <c r="C2895" s="229"/>
      <c r="D2895" s="221"/>
      <c r="E2895" s="226"/>
      <c r="F2895" s="227"/>
      <c r="G2895" s="228">
        <f>D2895*E2895</f>
        <v>0</v>
      </c>
    </row>
    <row r="2896" spans="1:8" s="1088" customFormat="1" ht="14.25" x14ac:dyDescent="0.2">
      <c r="A2896" s="1060"/>
      <c r="B2896" s="1068"/>
      <c r="C2896" s="225"/>
      <c r="D2896" s="221"/>
      <c r="E2896" s="226"/>
      <c r="F2896" s="227"/>
      <c r="G2896" s="228">
        <f>D2896*E2896</f>
        <v>0</v>
      </c>
    </row>
    <row r="2897" spans="1:7" s="1088" customFormat="1" ht="14.25" x14ac:dyDescent="0.2">
      <c r="A2897" s="1069"/>
      <c r="B2897" s="1070"/>
      <c r="C2897" s="230"/>
      <c r="D2897" s="231"/>
      <c r="E2897" s="232"/>
      <c r="F2897" s="233"/>
      <c r="G2897" s="228">
        <f>D2897*E2897</f>
        <v>0</v>
      </c>
    </row>
    <row r="2898" spans="1:7" s="1088" customFormat="1" ht="15" x14ac:dyDescent="0.25">
      <c r="A2898" s="1073"/>
      <c r="B2898" s="210"/>
      <c r="C2898" s="211"/>
      <c r="D2898" s="212"/>
      <c r="E2898" s="212"/>
      <c r="F2898" s="234" t="s">
        <v>121</v>
      </c>
      <c r="G2898" s="231">
        <f>+SUM(G2893:G2897)</f>
        <v>45491</v>
      </c>
    </row>
    <row r="2899" spans="1:7" s="1088" customFormat="1" ht="14.25" x14ac:dyDescent="0.2">
      <c r="A2899" s="209"/>
      <c r="B2899" s="212"/>
      <c r="C2899" s="211" t="s">
        <v>123</v>
      </c>
      <c r="D2899" s="212"/>
      <c r="E2899" s="213"/>
      <c r="F2899" s="214"/>
      <c r="G2899" s="215"/>
    </row>
    <row r="2900" spans="1:7" s="1088" customFormat="1" ht="15" x14ac:dyDescent="0.25">
      <c r="A2900" s="216" t="s">
        <v>122</v>
      </c>
      <c r="B2900" s="212"/>
      <c r="C2900" s="211" t="s">
        <v>123</v>
      </c>
      <c r="D2900" s="212"/>
      <c r="E2900" s="213"/>
      <c r="F2900" s="214"/>
      <c r="G2900" s="215"/>
    </row>
    <row r="2901" spans="1:7" s="1088" customFormat="1" ht="14.25" x14ac:dyDescent="0.2">
      <c r="A2901" s="209"/>
      <c r="B2901" s="212"/>
      <c r="C2901" s="211"/>
      <c r="D2901" s="212"/>
      <c r="E2901" s="213"/>
      <c r="F2901" s="214"/>
      <c r="G2901" s="215"/>
    </row>
    <row r="2902" spans="1:7" s="1088" customFormat="1" ht="15" x14ac:dyDescent="0.25">
      <c r="A2902" s="1071" t="s">
        <v>116</v>
      </c>
      <c r="B2902" s="1072"/>
      <c r="C2902" s="235" t="s">
        <v>117</v>
      </c>
      <c r="D2902" s="236" t="s">
        <v>124</v>
      </c>
      <c r="E2902" s="236" t="s">
        <v>125</v>
      </c>
      <c r="F2902" s="237" t="s">
        <v>126</v>
      </c>
      <c r="G2902" s="238" t="s">
        <v>120</v>
      </c>
    </row>
    <row r="2903" spans="1:7" s="1088" customFormat="1" ht="28.5" x14ac:dyDescent="0.2">
      <c r="A2903" s="1066" t="s">
        <v>127</v>
      </c>
      <c r="B2903" s="1067"/>
      <c r="C2903" s="239" t="s">
        <v>128</v>
      </c>
      <c r="D2903" s="239"/>
      <c r="E2903" s="241"/>
      <c r="F2903" s="222"/>
      <c r="G2903" s="242">
        <f>G2917*0.05</f>
        <v>1108.4796800000001</v>
      </c>
    </row>
    <row r="2904" spans="1:7" s="1088" customFormat="1" ht="14.25" x14ac:dyDescent="0.2">
      <c r="A2904" s="1256"/>
      <c r="B2904" s="1257"/>
      <c r="C2904" s="220"/>
      <c r="D2904" s="296"/>
      <c r="E2904" s="289"/>
      <c r="F2904" s="290">
        <v>1</v>
      </c>
      <c r="G2904" s="242">
        <f>D2904*F2904</f>
        <v>0</v>
      </c>
    </row>
    <row r="2905" spans="1:7" s="1088" customFormat="1" ht="14.25" x14ac:dyDescent="0.2">
      <c r="A2905" s="1073"/>
      <c r="B2905" s="1074"/>
      <c r="C2905" s="243"/>
      <c r="D2905" s="245"/>
      <c r="E2905" s="244"/>
      <c r="F2905" s="222"/>
      <c r="G2905" s="224"/>
    </row>
    <row r="2906" spans="1:7" s="1088" customFormat="1" ht="14.25" x14ac:dyDescent="0.2">
      <c r="A2906" s="209"/>
      <c r="B2906" s="245"/>
      <c r="C2906" s="246"/>
      <c r="D2906" s="250"/>
      <c r="E2906" s="247"/>
      <c r="F2906" s="222"/>
      <c r="G2906" s="248"/>
    </row>
    <row r="2907" spans="1:7" s="1088" customFormat="1" ht="14.25" x14ac:dyDescent="0.2">
      <c r="A2907" s="249"/>
      <c r="B2907" s="250"/>
      <c r="C2907" s="251"/>
      <c r="D2907" s="252"/>
      <c r="E2907" s="253"/>
      <c r="F2907" s="254"/>
      <c r="G2907" s="255"/>
    </row>
    <row r="2908" spans="1:7" s="1088" customFormat="1" ht="15" x14ac:dyDescent="0.25">
      <c r="A2908" s="209"/>
      <c r="B2908" s="214"/>
      <c r="C2908" s="256"/>
      <c r="D2908" s="214"/>
      <c r="E2908" s="212"/>
      <c r="F2908" s="257" t="s">
        <v>121</v>
      </c>
      <c r="G2908" s="258">
        <f>+SUM(G2903:G2907)</f>
        <v>1108.4796800000001</v>
      </c>
    </row>
    <row r="2909" spans="1:7" s="1088" customFormat="1" ht="14.25" customHeight="1" x14ac:dyDescent="0.2">
      <c r="A2909" s="209"/>
      <c r="B2909" s="212"/>
      <c r="C2909" s="211"/>
      <c r="D2909" s="212"/>
      <c r="E2909" s="213"/>
      <c r="F2909" s="212"/>
      <c r="G2909" s="215"/>
    </row>
    <row r="2910" spans="1:7" s="1088" customFormat="1" ht="15" x14ac:dyDescent="0.25">
      <c r="A2910" s="216" t="s">
        <v>130</v>
      </c>
      <c r="B2910" s="212"/>
      <c r="C2910" s="211"/>
      <c r="D2910" s="212"/>
      <c r="E2910" s="213"/>
      <c r="F2910" s="214"/>
      <c r="G2910" s="215"/>
    </row>
    <row r="2911" spans="1:7" s="1088" customFormat="1" ht="14.25" x14ac:dyDescent="0.2">
      <c r="A2911" s="209"/>
      <c r="B2911" s="212"/>
      <c r="C2911" s="211"/>
      <c r="D2911" s="212"/>
      <c r="E2911" s="213"/>
      <c r="F2911" s="214"/>
      <c r="G2911" s="215"/>
    </row>
    <row r="2912" spans="1:7" s="1088" customFormat="1" ht="15" x14ac:dyDescent="0.25">
      <c r="A2912" s="1071" t="s">
        <v>116</v>
      </c>
      <c r="B2912" s="1072"/>
      <c r="C2912" s="236" t="s">
        <v>131</v>
      </c>
      <c r="D2912" s="235" t="s">
        <v>132</v>
      </c>
      <c r="E2912" s="236" t="s">
        <v>133</v>
      </c>
      <c r="F2912" s="237" t="s">
        <v>126</v>
      </c>
      <c r="G2912" s="238" t="s">
        <v>134</v>
      </c>
    </row>
    <row r="2913" spans="1:7" s="1088" customFormat="1" ht="14.25" x14ac:dyDescent="0.2">
      <c r="A2913" s="209" t="s">
        <v>10</v>
      </c>
      <c r="B2913" s="259"/>
      <c r="C2913" s="260">
        <f>M2</f>
        <v>22981.8</v>
      </c>
      <c r="D2913" s="261">
        <f>N2</f>
        <v>1.76</v>
      </c>
      <c r="E2913" s="276">
        <f>C2913*D2913</f>
        <v>40447.968000000001</v>
      </c>
      <c r="F2913" s="222">
        <f>1/5</f>
        <v>0.2</v>
      </c>
      <c r="G2913" s="224">
        <f>F2913*E2913</f>
        <v>8089.5936000000002</v>
      </c>
    </row>
    <row r="2914" spans="1:7" s="1088" customFormat="1" ht="14.25" x14ac:dyDescent="0.2">
      <c r="A2914" s="209" t="s">
        <v>140</v>
      </c>
      <c r="B2914" s="259"/>
      <c r="C2914" s="260">
        <f>M3</f>
        <v>40000</v>
      </c>
      <c r="D2914" s="261">
        <f>N3</f>
        <v>1.76</v>
      </c>
      <c r="E2914" s="276">
        <f>C2914*D2914</f>
        <v>70400</v>
      </c>
      <c r="F2914" s="222">
        <f>1/5</f>
        <v>0.2</v>
      </c>
      <c r="G2914" s="224">
        <f>F2914*E2914</f>
        <v>14080</v>
      </c>
    </row>
    <row r="2915" spans="1:7" s="1088" customFormat="1" ht="14.25" x14ac:dyDescent="0.2">
      <c r="A2915" s="209"/>
      <c r="B2915" s="245"/>
      <c r="C2915" s="265"/>
      <c r="D2915" s="246"/>
      <c r="E2915" s="265"/>
      <c r="F2915" s="266"/>
      <c r="G2915" s="267"/>
    </row>
    <row r="2916" spans="1:7" s="1088" customFormat="1" ht="14.25" x14ac:dyDescent="0.2">
      <c r="A2916" s="249"/>
      <c r="B2916" s="250"/>
      <c r="C2916" s="252"/>
      <c r="D2916" s="251"/>
      <c r="E2916" s="252"/>
      <c r="F2916" s="254"/>
      <c r="G2916" s="268"/>
    </row>
    <row r="2917" spans="1:7" s="1088" customFormat="1" ht="15" x14ac:dyDescent="0.25">
      <c r="A2917" s="209"/>
      <c r="B2917" s="212"/>
      <c r="C2917" s="211"/>
      <c r="D2917" s="212"/>
      <c r="E2917" s="269"/>
      <c r="F2917" s="269" t="s">
        <v>121</v>
      </c>
      <c r="G2917" s="270">
        <f>+SUM(G2913:G2916)</f>
        <v>22169.5936</v>
      </c>
    </row>
    <row r="2918" spans="1:7" s="1088" customFormat="1" ht="15" x14ac:dyDescent="0.25">
      <c r="A2918" s="209"/>
      <c r="B2918" s="212"/>
      <c r="C2918" s="211"/>
      <c r="D2918" s="212"/>
      <c r="E2918" s="257"/>
      <c r="F2918" s="257"/>
      <c r="G2918" s="271"/>
    </row>
    <row r="2919" spans="1:7" s="1088" customFormat="1" ht="15" x14ac:dyDescent="0.25">
      <c r="A2919" s="216" t="s">
        <v>135</v>
      </c>
      <c r="B2919" s="212"/>
      <c r="C2919" s="211"/>
      <c r="D2919" s="212"/>
      <c r="E2919" s="213"/>
      <c r="F2919" s="214"/>
      <c r="G2919" s="215"/>
    </row>
    <row r="2920" spans="1:7" s="1088" customFormat="1" ht="14.25" x14ac:dyDescent="0.2">
      <c r="A2920" s="209"/>
      <c r="B2920" s="212"/>
      <c r="C2920" s="211"/>
      <c r="D2920" s="212"/>
      <c r="E2920" s="213"/>
      <c r="F2920" s="214"/>
      <c r="G2920" s="215"/>
    </row>
    <row r="2921" spans="1:7" s="1088" customFormat="1" ht="15" x14ac:dyDescent="0.25">
      <c r="A2921" s="1071" t="s">
        <v>116</v>
      </c>
      <c r="B2921" s="1072"/>
      <c r="C2921" s="236" t="s">
        <v>117</v>
      </c>
      <c r="D2921" s="235" t="s">
        <v>136</v>
      </c>
      <c r="E2921" s="236" t="s">
        <v>124</v>
      </c>
      <c r="F2921" s="237" t="s">
        <v>126</v>
      </c>
      <c r="G2921" s="238" t="s">
        <v>134</v>
      </c>
    </row>
    <row r="2922" spans="1:7" s="1088" customFormat="1" ht="14.25" x14ac:dyDescent="0.2">
      <c r="A2922" s="209" t="s">
        <v>175</v>
      </c>
      <c r="B2922" s="286"/>
      <c r="C2922" s="287" t="s">
        <v>79</v>
      </c>
      <c r="D2922" s="261"/>
      <c r="E2922" s="276">
        <v>68000</v>
      </c>
      <c r="F2922" s="222">
        <f>1/15</f>
        <v>6.6666666666666666E-2</v>
      </c>
      <c r="G2922" s="224">
        <f>F2922*E2922</f>
        <v>4533.333333333333</v>
      </c>
    </row>
    <row r="2923" spans="1:7" s="1088" customFormat="1" ht="14.25" x14ac:dyDescent="0.2">
      <c r="A2923" s="209"/>
      <c r="B2923" s="275"/>
      <c r="C2923" s="260"/>
      <c r="D2923" s="261"/>
      <c r="E2923" s="276"/>
      <c r="F2923" s="222"/>
      <c r="G2923" s="224"/>
    </row>
    <row r="2924" spans="1:7" s="1088" customFormat="1" ht="14.25" x14ac:dyDescent="0.2">
      <c r="A2924" s="209"/>
      <c r="B2924" s="259"/>
      <c r="C2924" s="260"/>
      <c r="D2924" s="261"/>
      <c r="E2924" s="276"/>
      <c r="F2924" s="222"/>
      <c r="G2924" s="224"/>
    </row>
    <row r="2925" spans="1:7" s="1088" customFormat="1" ht="14.25" x14ac:dyDescent="0.2">
      <c r="A2925" s="209"/>
      <c r="B2925" s="259"/>
      <c r="C2925" s="260"/>
      <c r="D2925" s="261"/>
      <c r="E2925" s="276"/>
      <c r="F2925" s="222"/>
      <c r="G2925" s="224"/>
    </row>
    <row r="2926" spans="1:7" s="1088" customFormat="1" ht="14.25" x14ac:dyDescent="0.2">
      <c r="A2926" s="209"/>
      <c r="B2926" s="245"/>
      <c r="C2926" s="265"/>
      <c r="D2926" s="246"/>
      <c r="E2926" s="265"/>
      <c r="F2926" s="266"/>
      <c r="G2926" s="267"/>
    </row>
    <row r="2927" spans="1:7" s="1088" customFormat="1" ht="14.25" x14ac:dyDescent="0.2">
      <c r="A2927" s="249"/>
      <c r="B2927" s="250"/>
      <c r="C2927" s="252"/>
      <c r="D2927" s="251"/>
      <c r="E2927" s="252"/>
      <c r="F2927" s="254"/>
      <c r="G2927" s="268"/>
    </row>
    <row r="2928" spans="1:7" s="1088" customFormat="1" ht="15" x14ac:dyDescent="0.25">
      <c r="A2928" s="209"/>
      <c r="B2928" s="212"/>
      <c r="C2928" s="211"/>
      <c r="D2928" s="212"/>
      <c r="E2928" s="269"/>
      <c r="F2928" s="269" t="s">
        <v>121</v>
      </c>
      <c r="G2928" s="270">
        <f>+SUM(G2922:G2927)</f>
        <v>4533.333333333333</v>
      </c>
    </row>
    <row r="2929" spans="1:7" s="1088" customFormat="1" ht="14.25" x14ac:dyDescent="0.2">
      <c r="A2929" s="209"/>
      <c r="B2929" s="212"/>
      <c r="C2929" s="211"/>
      <c r="D2929" s="212"/>
      <c r="E2929" s="213"/>
      <c r="F2929" s="214"/>
      <c r="G2929" s="271"/>
    </row>
    <row r="2930" spans="1:7" s="1088" customFormat="1" ht="15" x14ac:dyDescent="0.25">
      <c r="A2930" s="277"/>
      <c r="B2930" s="278"/>
      <c r="C2930" s="278"/>
      <c r="D2930" s="278"/>
      <c r="E2930" s="279"/>
      <c r="F2930" s="280" t="s">
        <v>137</v>
      </c>
      <c r="G2930" s="283">
        <f>+ROUND(G2898+G2908+G2917+G2928,0)</f>
        <v>73302</v>
      </c>
    </row>
    <row r="2931" spans="1:7" s="1088" customFormat="1" ht="14.25" x14ac:dyDescent="0.2">
      <c r="A2931" s="277"/>
      <c r="B2931" s="278"/>
      <c r="C2931" s="278"/>
      <c r="D2931" s="278"/>
      <c r="E2931" s="279"/>
      <c r="F2931" s="279"/>
      <c r="G2931" s="279"/>
    </row>
    <row r="2932" spans="1:7" s="1088" customFormat="1" ht="15" x14ac:dyDescent="0.25">
      <c r="A2932" s="145" t="s">
        <v>160</v>
      </c>
      <c r="B2932" s="1262" t="s">
        <v>161</v>
      </c>
      <c r="C2932" s="1263"/>
      <c r="D2932" s="1263"/>
      <c r="E2932" s="1263"/>
      <c r="F2932" s="1264"/>
      <c r="G2932" s="146" t="s">
        <v>2</v>
      </c>
    </row>
    <row r="2933" spans="1:7" s="1088" customFormat="1" ht="15" x14ac:dyDescent="0.25">
      <c r="A2933" s="285">
        <f>'FORMATO PROPUESTA ECONÓMICA'!A86</f>
        <v>8.8000000000000007</v>
      </c>
      <c r="B2933" s="1265" t="str">
        <f>'FORMATO PROPUESTA ECONÓMICA'!B86</f>
        <v>Brida loca HD d= 4"</v>
      </c>
      <c r="C2933" s="1266"/>
      <c r="D2933" s="1266"/>
      <c r="E2933" s="1266"/>
      <c r="F2933" s="1267"/>
      <c r="G2933" s="187" t="str">
        <f>'FORMATO PROPUESTA ECONÓMICA'!C86</f>
        <v>und</v>
      </c>
    </row>
    <row r="2934" spans="1:7" s="1088" customFormat="1" ht="14.25" x14ac:dyDescent="0.2">
      <c r="A2934" s="209"/>
      <c r="B2934" s="210"/>
      <c r="C2934" s="211"/>
      <c r="D2934" s="212"/>
      <c r="E2934" s="213"/>
      <c r="F2934" s="214"/>
      <c r="G2934" s="215"/>
    </row>
    <row r="2935" spans="1:7" s="1088" customFormat="1" ht="15" x14ac:dyDescent="0.25">
      <c r="A2935" s="216" t="s">
        <v>115</v>
      </c>
      <c r="B2935" s="212"/>
      <c r="C2935" s="211"/>
      <c r="D2935" s="212"/>
      <c r="E2935" s="213"/>
      <c r="F2935" s="214"/>
      <c r="G2935" s="215"/>
    </row>
    <row r="2936" spans="1:7" s="1088" customFormat="1" ht="14.25" x14ac:dyDescent="0.2">
      <c r="A2936" s="209"/>
      <c r="B2936" s="212"/>
      <c r="C2936" s="211"/>
      <c r="D2936" s="212"/>
      <c r="E2936" s="213"/>
      <c r="F2936" s="214"/>
      <c r="G2936" s="215"/>
    </row>
    <row r="2937" spans="1:7" s="1088" customFormat="1" ht="15" x14ac:dyDescent="0.25">
      <c r="A2937" s="1075" t="s">
        <v>116</v>
      </c>
      <c r="B2937" s="1076"/>
      <c r="C2937" s="217" t="s">
        <v>117</v>
      </c>
      <c r="D2937" s="1075" t="s">
        <v>118</v>
      </c>
      <c r="E2937" s="218" t="s">
        <v>39</v>
      </c>
      <c r="F2937" s="237" t="s">
        <v>126</v>
      </c>
      <c r="G2937" s="219" t="s">
        <v>120</v>
      </c>
    </row>
    <row r="2938" spans="1:7" s="1088" customFormat="1" ht="15" customHeight="1" x14ac:dyDescent="0.2">
      <c r="A2938" s="209"/>
      <c r="B2938" s="286"/>
      <c r="C2938" s="220"/>
      <c r="D2938" s="261"/>
      <c r="E2938" s="276"/>
      <c r="F2938" s="222"/>
      <c r="G2938" s="224"/>
    </row>
    <row r="2939" spans="1:7" s="1088" customFormat="1" ht="28.5" x14ac:dyDescent="0.2">
      <c r="A2939" s="1060" t="str">
        <f>B2933</f>
        <v>Brida loca HD d= 4"</v>
      </c>
      <c r="B2939" s="1068"/>
      <c r="C2939" s="225"/>
      <c r="D2939" s="221"/>
      <c r="E2939" s="226"/>
      <c r="F2939" s="227"/>
      <c r="G2939" s="228">
        <f>D2939*E2939</f>
        <v>0</v>
      </c>
    </row>
    <row r="2940" spans="1:7" s="1088" customFormat="1" ht="14.25" x14ac:dyDescent="0.2">
      <c r="A2940" s="1060"/>
      <c r="B2940" s="1068"/>
      <c r="C2940" s="229"/>
      <c r="D2940" s="221"/>
      <c r="E2940" s="226"/>
      <c r="F2940" s="227"/>
      <c r="G2940" s="228">
        <f>D2940*E2940</f>
        <v>0</v>
      </c>
    </row>
    <row r="2941" spans="1:7" s="1088" customFormat="1" ht="14.25" x14ac:dyDescent="0.2">
      <c r="A2941" s="1060"/>
      <c r="B2941" s="1068"/>
      <c r="C2941" s="225"/>
      <c r="D2941" s="221"/>
      <c r="E2941" s="226"/>
      <c r="F2941" s="227"/>
      <c r="G2941" s="228">
        <f>D2941*E2941</f>
        <v>0</v>
      </c>
    </row>
    <row r="2942" spans="1:7" s="1088" customFormat="1" ht="14.25" x14ac:dyDescent="0.2">
      <c r="A2942" s="1069"/>
      <c r="B2942" s="1070"/>
      <c r="C2942" s="230"/>
      <c r="D2942" s="231"/>
      <c r="E2942" s="232"/>
      <c r="F2942" s="233"/>
      <c r="G2942" s="228">
        <f>D2942*E2942</f>
        <v>0</v>
      </c>
    </row>
    <row r="2943" spans="1:7" s="1088" customFormat="1" ht="15" x14ac:dyDescent="0.25">
      <c r="A2943" s="1073"/>
      <c r="B2943" s="210"/>
      <c r="C2943" s="211"/>
      <c r="D2943" s="212"/>
      <c r="E2943" s="212"/>
      <c r="F2943" s="234" t="s">
        <v>121</v>
      </c>
      <c r="G2943" s="231">
        <f>+SUM(G2938:G2942)</f>
        <v>0</v>
      </c>
    </row>
    <row r="2944" spans="1:7" s="1088" customFormat="1" ht="14.25" x14ac:dyDescent="0.2">
      <c r="A2944" s="209"/>
      <c r="B2944" s="212"/>
      <c r="C2944" s="211" t="s">
        <v>123</v>
      </c>
      <c r="D2944" s="212"/>
      <c r="E2944" s="213"/>
      <c r="F2944" s="214"/>
      <c r="G2944" s="215"/>
    </row>
    <row r="2945" spans="1:7" s="1088" customFormat="1" ht="15" x14ac:dyDescent="0.25">
      <c r="A2945" s="216" t="s">
        <v>122</v>
      </c>
      <c r="B2945" s="212"/>
      <c r="C2945" s="211" t="s">
        <v>123</v>
      </c>
      <c r="D2945" s="212"/>
      <c r="E2945" s="213"/>
      <c r="F2945" s="214"/>
      <c r="G2945" s="215"/>
    </row>
    <row r="2946" spans="1:7" s="1088" customFormat="1" ht="14.25" x14ac:dyDescent="0.2">
      <c r="A2946" s="209"/>
      <c r="B2946" s="212"/>
      <c r="C2946" s="211"/>
      <c r="D2946" s="212"/>
      <c r="E2946" s="213"/>
      <c r="F2946" s="214"/>
      <c r="G2946" s="215"/>
    </row>
    <row r="2947" spans="1:7" s="1088" customFormat="1" ht="15" x14ac:dyDescent="0.25">
      <c r="A2947" s="1071" t="s">
        <v>116</v>
      </c>
      <c r="B2947" s="1072"/>
      <c r="C2947" s="235" t="s">
        <v>117</v>
      </c>
      <c r="D2947" s="236" t="s">
        <v>124</v>
      </c>
      <c r="E2947" s="236" t="s">
        <v>125</v>
      </c>
      <c r="F2947" s="237" t="s">
        <v>126</v>
      </c>
      <c r="G2947" s="238" t="s">
        <v>120</v>
      </c>
    </row>
    <row r="2948" spans="1:7" s="1088" customFormat="1" ht="28.5" x14ac:dyDescent="0.2">
      <c r="A2948" s="1066" t="s">
        <v>127</v>
      </c>
      <c r="B2948" s="1067"/>
      <c r="C2948" s="239" t="s">
        <v>128</v>
      </c>
      <c r="D2948" s="239"/>
      <c r="E2948" s="241"/>
      <c r="F2948" s="222"/>
      <c r="G2948" s="242">
        <f>G2962*0.05</f>
        <v>1108.4796800000001</v>
      </c>
    </row>
    <row r="2949" spans="1:7" s="1088" customFormat="1" ht="14.25" x14ac:dyDescent="0.2">
      <c r="A2949" s="1256" t="str">
        <f>B2933</f>
        <v>Brida loca HD d= 4"</v>
      </c>
      <c r="B2949" s="1257"/>
      <c r="C2949" s="220" t="s">
        <v>79</v>
      </c>
      <c r="D2949" s="297">
        <v>64081</v>
      </c>
      <c r="E2949" s="289">
        <v>1</v>
      </c>
      <c r="F2949" s="290">
        <v>1</v>
      </c>
      <c r="G2949" s="242">
        <f>D2949*F2949</f>
        <v>64081</v>
      </c>
    </row>
    <row r="2950" spans="1:7" s="1088" customFormat="1" ht="14.25" x14ac:dyDescent="0.2">
      <c r="A2950" s="1073"/>
      <c r="B2950" s="1074"/>
      <c r="C2950" s="243"/>
      <c r="D2950" s="245"/>
      <c r="E2950" s="244"/>
      <c r="F2950" s="222"/>
      <c r="G2950" s="224"/>
    </row>
    <row r="2951" spans="1:7" s="1088" customFormat="1" ht="14.25" x14ac:dyDescent="0.2">
      <c r="A2951" s="209"/>
      <c r="B2951" s="245"/>
      <c r="C2951" s="246"/>
      <c r="D2951" s="250"/>
      <c r="E2951" s="247"/>
      <c r="F2951" s="222"/>
      <c r="G2951" s="248"/>
    </row>
    <row r="2952" spans="1:7" s="1088" customFormat="1" ht="14.25" x14ac:dyDescent="0.2">
      <c r="A2952" s="249"/>
      <c r="B2952" s="250"/>
      <c r="C2952" s="251"/>
      <c r="D2952" s="252"/>
      <c r="E2952" s="253"/>
      <c r="F2952" s="254"/>
      <c r="G2952" s="255"/>
    </row>
    <row r="2953" spans="1:7" s="1088" customFormat="1" ht="15" x14ac:dyDescent="0.25">
      <c r="A2953" s="209"/>
      <c r="B2953" s="214"/>
      <c r="C2953" s="256"/>
      <c r="D2953" s="214"/>
      <c r="E2953" s="212"/>
      <c r="F2953" s="257" t="s">
        <v>121</v>
      </c>
      <c r="G2953" s="258">
        <f>+SUM(G2948:G2952)</f>
        <v>65189.479679999997</v>
      </c>
    </row>
    <row r="2954" spans="1:7" s="1088" customFormat="1" ht="14.25" customHeight="1" x14ac:dyDescent="0.2">
      <c r="A2954" s="209"/>
      <c r="B2954" s="212"/>
      <c r="C2954" s="211"/>
      <c r="D2954" s="212"/>
      <c r="E2954" s="213"/>
      <c r="F2954" s="212"/>
      <c r="G2954" s="215"/>
    </row>
    <row r="2955" spans="1:7" s="1088" customFormat="1" ht="15" x14ac:dyDescent="0.25">
      <c r="A2955" s="216" t="s">
        <v>130</v>
      </c>
      <c r="B2955" s="212"/>
      <c r="C2955" s="211"/>
      <c r="D2955" s="212"/>
      <c r="E2955" s="213"/>
      <c r="F2955" s="214"/>
      <c r="G2955" s="215"/>
    </row>
    <row r="2956" spans="1:7" s="1088" customFormat="1" ht="14.25" x14ac:dyDescent="0.2">
      <c r="A2956" s="209"/>
      <c r="B2956" s="212"/>
      <c r="C2956" s="211"/>
      <c r="D2956" s="212"/>
      <c r="E2956" s="213"/>
      <c r="F2956" s="214"/>
      <c r="G2956" s="215"/>
    </row>
    <row r="2957" spans="1:7" s="1088" customFormat="1" ht="15" x14ac:dyDescent="0.25">
      <c r="A2957" s="1071" t="s">
        <v>116</v>
      </c>
      <c r="B2957" s="1072"/>
      <c r="C2957" s="236" t="s">
        <v>131</v>
      </c>
      <c r="D2957" s="235" t="s">
        <v>132</v>
      </c>
      <c r="E2957" s="236" t="s">
        <v>133</v>
      </c>
      <c r="F2957" s="237" t="s">
        <v>126</v>
      </c>
      <c r="G2957" s="238" t="s">
        <v>134</v>
      </c>
    </row>
    <row r="2958" spans="1:7" s="1088" customFormat="1" ht="14.25" x14ac:dyDescent="0.2">
      <c r="A2958" s="209" t="s">
        <v>10</v>
      </c>
      <c r="B2958" s="259"/>
      <c r="C2958" s="260">
        <f>M2</f>
        <v>22981.8</v>
      </c>
      <c r="D2958" s="261">
        <f>N3</f>
        <v>1.76</v>
      </c>
      <c r="E2958" s="276">
        <f>C2958*D2958</f>
        <v>40447.968000000001</v>
      </c>
      <c r="F2958" s="222">
        <f>1/5</f>
        <v>0.2</v>
      </c>
      <c r="G2958" s="224">
        <f>F2958*E2958</f>
        <v>8089.5936000000002</v>
      </c>
    </row>
    <row r="2959" spans="1:7" s="1088" customFormat="1" ht="14.25" x14ac:dyDescent="0.2">
      <c r="A2959" s="209" t="s">
        <v>140</v>
      </c>
      <c r="B2959" s="259"/>
      <c r="C2959" s="260">
        <f>M3</f>
        <v>40000</v>
      </c>
      <c r="D2959" s="261">
        <f>N3</f>
        <v>1.76</v>
      </c>
      <c r="E2959" s="276">
        <f>C2959*D2959</f>
        <v>70400</v>
      </c>
      <c r="F2959" s="222">
        <f>1/5</f>
        <v>0.2</v>
      </c>
      <c r="G2959" s="224">
        <f>F2959*E2959</f>
        <v>14080</v>
      </c>
    </row>
    <row r="2960" spans="1:7" s="1088" customFormat="1" ht="14.25" x14ac:dyDescent="0.2">
      <c r="A2960" s="209"/>
      <c r="B2960" s="245"/>
      <c r="C2960" s="265"/>
      <c r="D2960" s="246"/>
      <c r="E2960" s="265"/>
      <c r="F2960" s="266"/>
      <c r="G2960" s="267"/>
    </row>
    <row r="2961" spans="1:7" s="1088" customFormat="1" ht="14.25" x14ac:dyDescent="0.2">
      <c r="A2961" s="249"/>
      <c r="B2961" s="250"/>
      <c r="C2961" s="252"/>
      <c r="D2961" s="251"/>
      <c r="E2961" s="252"/>
      <c r="F2961" s="254"/>
      <c r="G2961" s="268"/>
    </row>
    <row r="2962" spans="1:7" s="1088" customFormat="1" ht="15" x14ac:dyDescent="0.25">
      <c r="A2962" s="209"/>
      <c r="B2962" s="212"/>
      <c r="C2962" s="211"/>
      <c r="D2962" s="212"/>
      <c r="E2962" s="269"/>
      <c r="F2962" s="269" t="s">
        <v>121</v>
      </c>
      <c r="G2962" s="270">
        <f>+SUM(G2958:G2961)</f>
        <v>22169.5936</v>
      </c>
    </row>
    <row r="2963" spans="1:7" s="1088" customFormat="1" ht="15" x14ac:dyDescent="0.25">
      <c r="A2963" s="209"/>
      <c r="B2963" s="212"/>
      <c r="C2963" s="211"/>
      <c r="D2963" s="212"/>
      <c r="E2963" s="257"/>
      <c r="F2963" s="257"/>
      <c r="G2963" s="271"/>
    </row>
    <row r="2964" spans="1:7" s="1088" customFormat="1" ht="15" x14ac:dyDescent="0.25">
      <c r="A2964" s="216" t="s">
        <v>135</v>
      </c>
      <c r="B2964" s="212"/>
      <c r="C2964" s="211"/>
      <c r="D2964" s="212"/>
      <c r="E2964" s="213"/>
      <c r="F2964" s="214"/>
      <c r="G2964" s="215"/>
    </row>
    <row r="2965" spans="1:7" s="1088" customFormat="1" ht="14.25" x14ac:dyDescent="0.2">
      <c r="A2965" s="209"/>
      <c r="B2965" s="212"/>
      <c r="C2965" s="211"/>
      <c r="D2965" s="212"/>
      <c r="E2965" s="213"/>
      <c r="F2965" s="214"/>
      <c r="G2965" s="215"/>
    </row>
    <row r="2966" spans="1:7" s="1088" customFormat="1" ht="15" x14ac:dyDescent="0.25">
      <c r="A2966" s="1071" t="s">
        <v>116</v>
      </c>
      <c r="B2966" s="1072"/>
      <c r="C2966" s="236" t="s">
        <v>117</v>
      </c>
      <c r="D2966" s="235" t="s">
        <v>136</v>
      </c>
      <c r="E2966" s="236" t="s">
        <v>124</v>
      </c>
      <c r="F2966" s="237" t="s">
        <v>126</v>
      </c>
      <c r="G2966" s="238" t="s">
        <v>134</v>
      </c>
    </row>
    <row r="2967" spans="1:7" s="1088" customFormat="1" ht="14.25" x14ac:dyDescent="0.2">
      <c r="A2967" s="209" t="s">
        <v>175</v>
      </c>
      <c r="B2967" s="286"/>
      <c r="C2967" s="287" t="s">
        <v>79</v>
      </c>
      <c r="D2967" s="261"/>
      <c r="E2967" s="276">
        <v>68000</v>
      </c>
      <c r="F2967" s="222">
        <f>1/15</f>
        <v>6.6666666666666666E-2</v>
      </c>
      <c r="G2967" s="224">
        <f>F2967*E2967</f>
        <v>4533.333333333333</v>
      </c>
    </row>
    <row r="2968" spans="1:7" s="1088" customFormat="1" ht="14.25" x14ac:dyDescent="0.2">
      <c r="A2968" s="209"/>
      <c r="B2968" s="275"/>
      <c r="C2968" s="260"/>
      <c r="D2968" s="261"/>
      <c r="E2968" s="276"/>
      <c r="F2968" s="222"/>
      <c r="G2968" s="224"/>
    </row>
    <row r="2969" spans="1:7" s="1088" customFormat="1" ht="14.25" x14ac:dyDescent="0.2">
      <c r="A2969" s="209"/>
      <c r="B2969" s="259"/>
      <c r="C2969" s="260"/>
      <c r="D2969" s="261"/>
      <c r="E2969" s="276"/>
      <c r="F2969" s="222"/>
      <c r="G2969" s="224"/>
    </row>
    <row r="2970" spans="1:7" s="1088" customFormat="1" ht="14.25" x14ac:dyDescent="0.2">
      <c r="A2970" s="209"/>
      <c r="B2970" s="259"/>
      <c r="C2970" s="260"/>
      <c r="D2970" s="261"/>
      <c r="E2970" s="276"/>
      <c r="F2970" s="222"/>
      <c r="G2970" s="224"/>
    </row>
    <row r="2971" spans="1:7" s="1088" customFormat="1" ht="14.25" x14ac:dyDescent="0.2">
      <c r="A2971" s="209"/>
      <c r="B2971" s="245"/>
      <c r="C2971" s="265"/>
      <c r="D2971" s="246"/>
      <c r="E2971" s="265"/>
      <c r="F2971" s="266"/>
      <c r="G2971" s="267"/>
    </row>
    <row r="2972" spans="1:7" s="1088" customFormat="1" ht="14.25" x14ac:dyDescent="0.2">
      <c r="A2972" s="249"/>
      <c r="B2972" s="250"/>
      <c r="C2972" s="252"/>
      <c r="D2972" s="251"/>
      <c r="E2972" s="252"/>
      <c r="F2972" s="254"/>
      <c r="G2972" s="268"/>
    </row>
    <row r="2973" spans="1:7" s="1088" customFormat="1" ht="15" x14ac:dyDescent="0.25">
      <c r="A2973" s="209"/>
      <c r="B2973" s="212"/>
      <c r="C2973" s="211"/>
      <c r="D2973" s="212"/>
      <c r="E2973" s="269"/>
      <c r="F2973" s="269" t="s">
        <v>121</v>
      </c>
      <c r="G2973" s="270">
        <f>+SUM(G2967:G2972)</f>
        <v>4533.333333333333</v>
      </c>
    </row>
    <row r="2974" spans="1:7" s="1088" customFormat="1" ht="14.25" x14ac:dyDescent="0.2">
      <c r="A2974" s="209"/>
      <c r="B2974" s="212"/>
      <c r="C2974" s="211"/>
      <c r="D2974" s="212"/>
      <c r="E2974" s="213"/>
      <c r="F2974" s="214"/>
      <c r="G2974" s="271"/>
    </row>
    <row r="2975" spans="1:7" s="1088" customFormat="1" ht="15" x14ac:dyDescent="0.25">
      <c r="A2975" s="277"/>
      <c r="B2975" s="278"/>
      <c r="C2975" s="278"/>
      <c r="D2975" s="278"/>
      <c r="E2975" s="279"/>
      <c r="F2975" s="280" t="s">
        <v>137</v>
      </c>
      <c r="G2975" s="283">
        <f>+ROUND(G2943+G2953+G2962+G2973,0)</f>
        <v>91892</v>
      </c>
    </row>
    <row r="2976" spans="1:7" s="1088" customFormat="1" ht="14.25" x14ac:dyDescent="0.2">
      <c r="A2976" s="277"/>
      <c r="B2976" s="278"/>
      <c r="C2976" s="278"/>
      <c r="D2976" s="278"/>
      <c r="E2976" s="279"/>
      <c r="F2976" s="279"/>
      <c r="G2976" s="279"/>
    </row>
    <row r="2977" spans="1:7" s="1088" customFormat="1" ht="15" x14ac:dyDescent="0.25">
      <c r="A2977" s="145" t="s">
        <v>160</v>
      </c>
      <c r="B2977" s="1262" t="s">
        <v>161</v>
      </c>
      <c r="C2977" s="1263"/>
      <c r="D2977" s="1263"/>
      <c r="E2977" s="1263"/>
      <c r="F2977" s="1264"/>
      <c r="G2977" s="146" t="s">
        <v>2</v>
      </c>
    </row>
    <row r="2978" spans="1:7" s="1088" customFormat="1" ht="15" x14ac:dyDescent="0.25">
      <c r="A2978" s="1050">
        <f>'FORMATO PROPUESTA ECONÓMICA'!A87</f>
        <v>8.9</v>
      </c>
      <c r="B2978" s="1265" t="str">
        <f>'FORMATO PROPUESTA ECONÓMICA'!B87</f>
        <v>Brida loca HD d= 6"</v>
      </c>
      <c r="C2978" s="1266"/>
      <c r="D2978" s="1266"/>
      <c r="E2978" s="1266"/>
      <c r="F2978" s="1267"/>
      <c r="G2978" s="187" t="str">
        <f>'FORMATO PROPUESTA ECONÓMICA'!C87</f>
        <v>und</v>
      </c>
    </row>
    <row r="2979" spans="1:7" s="1088" customFormat="1" ht="14.25" x14ac:dyDescent="0.2">
      <c r="A2979" s="209"/>
      <c r="B2979" s="210"/>
      <c r="C2979" s="211"/>
      <c r="D2979" s="212"/>
      <c r="E2979" s="213"/>
      <c r="F2979" s="214"/>
      <c r="G2979" s="215"/>
    </row>
    <row r="2980" spans="1:7" s="1088" customFormat="1" ht="15" x14ac:dyDescent="0.25">
      <c r="A2980" s="216" t="s">
        <v>115</v>
      </c>
      <c r="B2980" s="212"/>
      <c r="C2980" s="211"/>
      <c r="D2980" s="212"/>
      <c r="E2980" s="213"/>
      <c r="F2980" s="214"/>
      <c r="G2980" s="215"/>
    </row>
    <row r="2981" spans="1:7" s="1088" customFormat="1" ht="14.25" x14ac:dyDescent="0.2">
      <c r="A2981" s="209"/>
      <c r="B2981" s="212"/>
      <c r="C2981" s="211"/>
      <c r="D2981" s="212"/>
      <c r="E2981" s="213"/>
      <c r="F2981" s="214"/>
      <c r="G2981" s="215"/>
    </row>
    <row r="2982" spans="1:7" s="1088" customFormat="1" ht="15" x14ac:dyDescent="0.25">
      <c r="A2982" s="1075" t="s">
        <v>116</v>
      </c>
      <c r="B2982" s="1076"/>
      <c r="C2982" s="217" t="s">
        <v>117</v>
      </c>
      <c r="D2982" s="1075" t="s">
        <v>118</v>
      </c>
      <c r="E2982" s="218" t="s">
        <v>39</v>
      </c>
      <c r="F2982" s="237" t="s">
        <v>126</v>
      </c>
      <c r="G2982" s="219" t="s">
        <v>120</v>
      </c>
    </row>
    <row r="2983" spans="1:7" s="1088" customFormat="1" ht="15" customHeight="1" x14ac:dyDescent="0.2">
      <c r="A2983" s="209"/>
      <c r="B2983" s="286"/>
      <c r="C2983" s="220"/>
      <c r="D2983" s="261"/>
      <c r="E2983" s="276"/>
      <c r="F2983" s="222"/>
      <c r="G2983" s="224"/>
    </row>
    <row r="2984" spans="1:7" s="1088" customFormat="1" ht="28.5" x14ac:dyDescent="0.2">
      <c r="A2984" s="1060" t="str">
        <f>B2978</f>
        <v>Brida loca HD d= 6"</v>
      </c>
      <c r="B2984" s="1068"/>
      <c r="C2984" s="225" t="s">
        <v>79</v>
      </c>
      <c r="D2984" s="221">
        <v>89590</v>
      </c>
      <c r="E2984" s="226">
        <v>1</v>
      </c>
      <c r="F2984" s="227"/>
      <c r="G2984" s="228">
        <f>D2984*E2984</f>
        <v>89590</v>
      </c>
    </row>
    <row r="2985" spans="1:7" s="1088" customFormat="1" ht="14.25" x14ac:dyDescent="0.2">
      <c r="A2985" s="1060"/>
      <c r="B2985" s="1068"/>
      <c r="C2985" s="229"/>
      <c r="D2985" s="221"/>
      <c r="E2985" s="226"/>
      <c r="F2985" s="227"/>
      <c r="G2985" s="228">
        <f>D2985*E2985</f>
        <v>0</v>
      </c>
    </row>
    <row r="2986" spans="1:7" s="1088" customFormat="1" ht="14.25" x14ac:dyDescent="0.2">
      <c r="A2986" s="1060"/>
      <c r="B2986" s="1068"/>
      <c r="C2986" s="225"/>
      <c r="D2986" s="221"/>
      <c r="E2986" s="226"/>
      <c r="F2986" s="227"/>
      <c r="G2986" s="228">
        <f>D2986*E2986</f>
        <v>0</v>
      </c>
    </row>
    <row r="2987" spans="1:7" s="1088" customFormat="1" ht="14.25" x14ac:dyDescent="0.2">
      <c r="A2987" s="1069"/>
      <c r="B2987" s="1070"/>
      <c r="C2987" s="230"/>
      <c r="D2987" s="231"/>
      <c r="E2987" s="232"/>
      <c r="F2987" s="233"/>
      <c r="G2987" s="228">
        <f>D2987*E2987</f>
        <v>0</v>
      </c>
    </row>
    <row r="2988" spans="1:7" s="1088" customFormat="1" ht="15" x14ac:dyDescent="0.25">
      <c r="A2988" s="1073"/>
      <c r="B2988" s="210"/>
      <c r="C2988" s="211"/>
      <c r="D2988" s="212"/>
      <c r="E2988" s="212"/>
      <c r="F2988" s="234" t="s">
        <v>121</v>
      </c>
      <c r="G2988" s="231">
        <f>+SUM(G2983:G2987)</f>
        <v>89590</v>
      </c>
    </row>
    <row r="2989" spans="1:7" s="1088" customFormat="1" ht="14.25" x14ac:dyDescent="0.2">
      <c r="A2989" s="209"/>
      <c r="B2989" s="212"/>
      <c r="C2989" s="211" t="s">
        <v>123</v>
      </c>
      <c r="D2989" s="212"/>
      <c r="E2989" s="213"/>
      <c r="F2989" s="214"/>
      <c r="G2989" s="215"/>
    </row>
    <row r="2990" spans="1:7" s="1088" customFormat="1" ht="15" x14ac:dyDescent="0.25">
      <c r="A2990" s="216" t="s">
        <v>122</v>
      </c>
      <c r="B2990" s="212"/>
      <c r="C2990" s="211" t="s">
        <v>123</v>
      </c>
      <c r="D2990" s="212"/>
      <c r="E2990" s="213"/>
      <c r="F2990" s="214"/>
      <c r="G2990" s="215"/>
    </row>
    <row r="2991" spans="1:7" s="1088" customFormat="1" ht="14.25" x14ac:dyDescent="0.2">
      <c r="A2991" s="209"/>
      <c r="B2991" s="212"/>
      <c r="C2991" s="211"/>
      <c r="D2991" s="212"/>
      <c r="E2991" s="213"/>
      <c r="F2991" s="214"/>
      <c r="G2991" s="215"/>
    </row>
    <row r="2992" spans="1:7" s="1088" customFormat="1" ht="15" x14ac:dyDescent="0.25">
      <c r="A2992" s="1071" t="s">
        <v>116</v>
      </c>
      <c r="B2992" s="1072"/>
      <c r="C2992" s="235" t="s">
        <v>117</v>
      </c>
      <c r="D2992" s="236" t="s">
        <v>124</v>
      </c>
      <c r="E2992" s="236" t="s">
        <v>125</v>
      </c>
      <c r="F2992" s="237" t="s">
        <v>126</v>
      </c>
      <c r="G2992" s="238" t="s">
        <v>120</v>
      </c>
    </row>
    <row r="2993" spans="1:7" s="1088" customFormat="1" ht="28.5" x14ac:dyDescent="0.2">
      <c r="A2993" s="1066" t="s">
        <v>127</v>
      </c>
      <c r="B2993" s="1067"/>
      <c r="C2993" s="239" t="s">
        <v>128</v>
      </c>
      <c r="D2993" s="239"/>
      <c r="E2993" s="241"/>
      <c r="F2993" s="222"/>
      <c r="G2993" s="242">
        <f>G3007*0.05</f>
        <v>1108.4796800000001</v>
      </c>
    </row>
    <row r="2994" spans="1:7" s="1088" customFormat="1" ht="14.25" x14ac:dyDescent="0.2">
      <c r="A2994" s="1256"/>
      <c r="B2994" s="1257"/>
      <c r="C2994" s="220" t="s">
        <v>79</v>
      </c>
      <c r="D2994" s="296"/>
      <c r="E2994" s="289"/>
      <c r="F2994" s="290">
        <v>1</v>
      </c>
      <c r="G2994" s="242">
        <f>D2994*F2994</f>
        <v>0</v>
      </c>
    </row>
    <row r="2995" spans="1:7" s="1088" customFormat="1" ht="14.25" x14ac:dyDescent="0.2">
      <c r="A2995" s="1073"/>
      <c r="B2995" s="1074"/>
      <c r="C2995" s="243"/>
      <c r="D2995" s="245"/>
      <c r="E2995" s="244"/>
      <c r="F2995" s="222"/>
      <c r="G2995" s="224"/>
    </row>
    <row r="2996" spans="1:7" s="1088" customFormat="1" ht="14.25" x14ac:dyDescent="0.2">
      <c r="A2996" s="209"/>
      <c r="B2996" s="245"/>
      <c r="C2996" s="246"/>
      <c r="D2996" s="250"/>
      <c r="E2996" s="247"/>
      <c r="F2996" s="222"/>
      <c r="G2996" s="248"/>
    </row>
    <row r="2997" spans="1:7" s="1088" customFormat="1" ht="14.25" x14ac:dyDescent="0.2">
      <c r="A2997" s="249"/>
      <c r="B2997" s="250"/>
      <c r="C2997" s="251"/>
      <c r="D2997" s="252"/>
      <c r="E2997" s="253"/>
      <c r="F2997" s="254"/>
      <c r="G2997" s="255"/>
    </row>
    <row r="2998" spans="1:7" s="1088" customFormat="1" ht="15" x14ac:dyDescent="0.25">
      <c r="A2998" s="209"/>
      <c r="B2998" s="214"/>
      <c r="C2998" s="256"/>
      <c r="D2998" s="214"/>
      <c r="E2998" s="212"/>
      <c r="F2998" s="257" t="s">
        <v>121</v>
      </c>
      <c r="G2998" s="258">
        <f>+SUM(G2993:G2997)</f>
        <v>1108.4796800000001</v>
      </c>
    </row>
    <row r="2999" spans="1:7" s="1088" customFormat="1" ht="14.25" x14ac:dyDescent="0.2">
      <c r="A2999" s="209"/>
      <c r="B2999" s="212"/>
      <c r="C2999" s="211"/>
      <c r="D2999" s="212"/>
      <c r="E2999" s="213"/>
      <c r="F2999" s="212"/>
      <c r="G2999" s="215"/>
    </row>
    <row r="3000" spans="1:7" s="1088" customFormat="1" ht="15" x14ac:dyDescent="0.25">
      <c r="A3000" s="216" t="s">
        <v>130</v>
      </c>
      <c r="B3000" s="212"/>
      <c r="C3000" s="211"/>
      <c r="D3000" s="212"/>
      <c r="E3000" s="213"/>
      <c r="F3000" s="214"/>
      <c r="G3000" s="215"/>
    </row>
    <row r="3001" spans="1:7" s="1088" customFormat="1" ht="14.25" x14ac:dyDescent="0.2">
      <c r="A3001" s="209"/>
      <c r="B3001" s="212"/>
      <c r="C3001" s="211"/>
      <c r="D3001" s="212"/>
      <c r="E3001" s="213"/>
      <c r="F3001" s="214"/>
      <c r="G3001" s="215"/>
    </row>
    <row r="3002" spans="1:7" s="1088" customFormat="1" ht="15" x14ac:dyDescent="0.25">
      <c r="A3002" s="1071" t="s">
        <v>116</v>
      </c>
      <c r="B3002" s="1072"/>
      <c r="C3002" s="236" t="s">
        <v>131</v>
      </c>
      <c r="D3002" s="235" t="s">
        <v>132</v>
      </c>
      <c r="E3002" s="236" t="s">
        <v>133</v>
      </c>
      <c r="F3002" s="237" t="s">
        <v>126</v>
      </c>
      <c r="G3002" s="238" t="s">
        <v>134</v>
      </c>
    </row>
    <row r="3003" spans="1:7" s="1088" customFormat="1" ht="14.25" x14ac:dyDescent="0.2">
      <c r="A3003" s="209" t="s">
        <v>10</v>
      </c>
      <c r="B3003" s="259"/>
      <c r="C3003" s="260">
        <f>M2</f>
        <v>22981.8</v>
      </c>
      <c r="D3003" s="261">
        <f>N2</f>
        <v>1.76</v>
      </c>
      <c r="E3003" s="276">
        <f>C3003*D3003</f>
        <v>40447.968000000001</v>
      </c>
      <c r="F3003" s="222">
        <f>1/5</f>
        <v>0.2</v>
      </c>
      <c r="G3003" s="224">
        <f>F3003*E3003</f>
        <v>8089.5936000000002</v>
      </c>
    </row>
    <row r="3004" spans="1:7" s="1088" customFormat="1" ht="14.25" x14ac:dyDescent="0.2">
      <c r="A3004" s="209" t="s">
        <v>140</v>
      </c>
      <c r="B3004" s="259"/>
      <c r="C3004" s="260">
        <f>M3</f>
        <v>40000</v>
      </c>
      <c r="D3004" s="261">
        <f>N3</f>
        <v>1.76</v>
      </c>
      <c r="E3004" s="276">
        <f>C3004*D3004</f>
        <v>70400</v>
      </c>
      <c r="F3004" s="222">
        <f>1/5</f>
        <v>0.2</v>
      </c>
      <c r="G3004" s="224">
        <f>F3004*E3004</f>
        <v>14080</v>
      </c>
    </row>
    <row r="3005" spans="1:7" s="1088" customFormat="1" ht="14.25" x14ac:dyDescent="0.2">
      <c r="A3005" s="209"/>
      <c r="B3005" s="245"/>
      <c r="C3005" s="265"/>
      <c r="D3005" s="246"/>
      <c r="E3005" s="265"/>
      <c r="F3005" s="266"/>
      <c r="G3005" s="267"/>
    </row>
    <row r="3006" spans="1:7" s="1088" customFormat="1" ht="14.25" x14ac:dyDescent="0.2">
      <c r="A3006" s="249"/>
      <c r="B3006" s="250"/>
      <c r="C3006" s="252"/>
      <c r="D3006" s="251"/>
      <c r="E3006" s="252"/>
      <c r="F3006" s="254"/>
      <c r="G3006" s="268"/>
    </row>
    <row r="3007" spans="1:7" s="1088" customFormat="1" ht="15" x14ac:dyDescent="0.25">
      <c r="A3007" s="209"/>
      <c r="B3007" s="212"/>
      <c r="C3007" s="211"/>
      <c r="D3007" s="212"/>
      <c r="E3007" s="269"/>
      <c r="F3007" s="269" t="s">
        <v>121</v>
      </c>
      <c r="G3007" s="270">
        <f>+SUM(G3003:G3006)</f>
        <v>22169.5936</v>
      </c>
    </row>
    <row r="3008" spans="1:7" s="1088" customFormat="1" ht="15" x14ac:dyDescent="0.25">
      <c r="A3008" s="209"/>
      <c r="B3008" s="212"/>
      <c r="C3008" s="211"/>
      <c r="D3008" s="212"/>
      <c r="E3008" s="257"/>
      <c r="F3008" s="257"/>
      <c r="G3008" s="271"/>
    </row>
    <row r="3009" spans="1:7" s="1088" customFormat="1" ht="15" x14ac:dyDescent="0.25">
      <c r="A3009" s="216" t="s">
        <v>135</v>
      </c>
      <c r="B3009" s="212"/>
      <c r="C3009" s="211"/>
      <c r="D3009" s="212"/>
      <c r="E3009" s="213"/>
      <c r="F3009" s="214"/>
      <c r="G3009" s="215"/>
    </row>
    <row r="3010" spans="1:7" s="1088" customFormat="1" ht="14.25" x14ac:dyDescent="0.2">
      <c r="A3010" s="209"/>
      <c r="B3010" s="212"/>
      <c r="C3010" s="211"/>
      <c r="D3010" s="212"/>
      <c r="E3010" s="213"/>
      <c r="F3010" s="214"/>
      <c r="G3010" s="215"/>
    </row>
    <row r="3011" spans="1:7" s="1088" customFormat="1" ht="15" x14ac:dyDescent="0.25">
      <c r="A3011" s="1071" t="s">
        <v>116</v>
      </c>
      <c r="B3011" s="1072"/>
      <c r="C3011" s="236" t="s">
        <v>117</v>
      </c>
      <c r="D3011" s="235" t="s">
        <v>136</v>
      </c>
      <c r="E3011" s="236" t="s">
        <v>124</v>
      </c>
      <c r="F3011" s="237" t="s">
        <v>126</v>
      </c>
      <c r="G3011" s="238" t="s">
        <v>134</v>
      </c>
    </row>
    <row r="3012" spans="1:7" s="1088" customFormat="1" ht="14.25" x14ac:dyDescent="0.2">
      <c r="A3012" s="209" t="s">
        <v>175</v>
      </c>
      <c r="B3012" s="286"/>
      <c r="C3012" s="287" t="s">
        <v>79</v>
      </c>
      <c r="D3012" s="261"/>
      <c r="E3012" s="276">
        <v>68000</v>
      </c>
      <c r="F3012" s="222">
        <f>1/15</f>
        <v>6.6666666666666666E-2</v>
      </c>
      <c r="G3012" s="224">
        <f>F3012*E3012</f>
        <v>4533.333333333333</v>
      </c>
    </row>
    <row r="3013" spans="1:7" s="1088" customFormat="1" ht="14.25" x14ac:dyDescent="0.2">
      <c r="A3013" s="209"/>
      <c r="B3013" s="275"/>
      <c r="C3013" s="260"/>
      <c r="D3013" s="261"/>
      <c r="E3013" s="276"/>
      <c r="F3013" s="222"/>
      <c r="G3013" s="224"/>
    </row>
    <row r="3014" spans="1:7" s="1088" customFormat="1" ht="14.25" x14ac:dyDescent="0.2">
      <c r="A3014" s="209"/>
      <c r="B3014" s="259"/>
      <c r="C3014" s="260"/>
      <c r="D3014" s="261"/>
      <c r="E3014" s="276"/>
      <c r="F3014" s="222"/>
      <c r="G3014" s="224"/>
    </row>
    <row r="3015" spans="1:7" s="1088" customFormat="1" ht="14.25" x14ac:dyDescent="0.2">
      <c r="A3015" s="209"/>
      <c r="B3015" s="259"/>
      <c r="C3015" s="260"/>
      <c r="D3015" s="261"/>
      <c r="E3015" s="276"/>
      <c r="F3015" s="222"/>
      <c r="G3015" s="224"/>
    </row>
    <row r="3016" spans="1:7" s="1088" customFormat="1" ht="14.25" x14ac:dyDescent="0.2">
      <c r="A3016" s="209"/>
      <c r="B3016" s="245"/>
      <c r="C3016" s="265"/>
      <c r="D3016" s="246"/>
      <c r="E3016" s="265"/>
      <c r="F3016" s="266"/>
      <c r="G3016" s="267"/>
    </row>
    <row r="3017" spans="1:7" s="1088" customFormat="1" ht="14.25" x14ac:dyDescent="0.2">
      <c r="A3017" s="249"/>
      <c r="B3017" s="250"/>
      <c r="C3017" s="252"/>
      <c r="D3017" s="251"/>
      <c r="E3017" s="252"/>
      <c r="F3017" s="254"/>
      <c r="G3017" s="268"/>
    </row>
    <row r="3018" spans="1:7" s="1088" customFormat="1" ht="15" x14ac:dyDescent="0.25">
      <c r="A3018" s="209"/>
      <c r="B3018" s="212"/>
      <c r="C3018" s="211"/>
      <c r="D3018" s="212"/>
      <c r="E3018" s="269"/>
      <c r="F3018" s="269" t="s">
        <v>121</v>
      </c>
      <c r="G3018" s="270">
        <f>+SUM(G3012:G3017)</f>
        <v>4533.333333333333</v>
      </c>
    </row>
    <row r="3019" spans="1:7" s="1088" customFormat="1" ht="14.25" x14ac:dyDescent="0.2">
      <c r="A3019" s="209"/>
      <c r="B3019" s="212"/>
      <c r="C3019" s="211"/>
      <c r="D3019" s="212"/>
      <c r="E3019" s="213"/>
      <c r="F3019" s="214"/>
      <c r="G3019" s="271"/>
    </row>
    <row r="3020" spans="1:7" s="1088" customFormat="1" ht="15" x14ac:dyDescent="0.25">
      <c r="A3020" s="277"/>
      <c r="B3020" s="278"/>
      <c r="C3020" s="278"/>
      <c r="D3020" s="278"/>
      <c r="E3020" s="279"/>
      <c r="F3020" s="280" t="s">
        <v>137</v>
      </c>
      <c r="G3020" s="283">
        <f>+ROUND(G2988+G2998+G3007+G3018,0)</f>
        <v>117401</v>
      </c>
    </row>
    <row r="3021" spans="1:7" s="1088" customFormat="1" ht="14.25" x14ac:dyDescent="0.2">
      <c r="A3021" s="277"/>
      <c r="B3021" s="278"/>
      <c r="C3021" s="278"/>
      <c r="D3021" s="278"/>
      <c r="E3021" s="279"/>
      <c r="F3021" s="279"/>
      <c r="G3021" s="279"/>
    </row>
    <row r="3022" spans="1:7" s="1088" customFormat="1" ht="15" x14ac:dyDescent="0.25">
      <c r="A3022" s="145" t="s">
        <v>160</v>
      </c>
      <c r="B3022" s="1262" t="s">
        <v>161</v>
      </c>
      <c r="C3022" s="1263"/>
      <c r="D3022" s="1263"/>
      <c r="E3022" s="1263"/>
      <c r="F3022" s="1264"/>
      <c r="G3022" s="146" t="s">
        <v>2</v>
      </c>
    </row>
    <row r="3023" spans="1:7" s="1088" customFormat="1" ht="15" x14ac:dyDescent="0.25">
      <c r="A3023" s="285">
        <f>'FORMATO PROPUESTA ECONÓMICA'!A88</f>
        <v>8.1</v>
      </c>
      <c r="B3023" s="1265" t="str">
        <f>'FORMATO PROPUESTA ECONÓMICA'!B88</f>
        <v>Brida loca HD d= 8"</v>
      </c>
      <c r="C3023" s="1266"/>
      <c r="D3023" s="1266"/>
      <c r="E3023" s="1266"/>
      <c r="F3023" s="1267"/>
      <c r="G3023" s="187" t="str">
        <f>'FORMATO PROPUESTA ECONÓMICA'!C88</f>
        <v>und</v>
      </c>
    </row>
    <row r="3024" spans="1:7" s="1088" customFormat="1" ht="14.25" x14ac:dyDescent="0.2">
      <c r="A3024" s="209"/>
      <c r="B3024" s="210"/>
      <c r="C3024" s="211"/>
      <c r="D3024" s="212"/>
      <c r="E3024" s="213"/>
      <c r="F3024" s="214"/>
      <c r="G3024" s="215"/>
    </row>
    <row r="3025" spans="1:7" s="1088" customFormat="1" ht="15" x14ac:dyDescent="0.25">
      <c r="A3025" s="216" t="s">
        <v>115</v>
      </c>
      <c r="B3025" s="212"/>
      <c r="C3025" s="211"/>
      <c r="D3025" s="212"/>
      <c r="E3025" s="213"/>
      <c r="F3025" s="214"/>
      <c r="G3025" s="215"/>
    </row>
    <row r="3026" spans="1:7" s="1088" customFormat="1" ht="14.25" x14ac:dyDescent="0.2">
      <c r="A3026" s="209"/>
      <c r="B3026" s="212"/>
      <c r="C3026" s="211"/>
      <c r="D3026" s="212"/>
      <c r="E3026" s="213"/>
      <c r="F3026" s="214"/>
      <c r="G3026" s="215"/>
    </row>
    <row r="3027" spans="1:7" s="1088" customFormat="1" ht="15" x14ac:dyDescent="0.25">
      <c r="A3027" s="1075" t="s">
        <v>116</v>
      </c>
      <c r="B3027" s="1076"/>
      <c r="C3027" s="217" t="s">
        <v>117</v>
      </c>
      <c r="D3027" s="1075" t="s">
        <v>118</v>
      </c>
      <c r="E3027" s="218" t="s">
        <v>39</v>
      </c>
      <c r="F3027" s="237" t="s">
        <v>126</v>
      </c>
      <c r="G3027" s="219" t="s">
        <v>120</v>
      </c>
    </row>
    <row r="3028" spans="1:7" s="1088" customFormat="1" ht="15" customHeight="1" x14ac:dyDescent="0.2">
      <c r="A3028" s="209"/>
      <c r="B3028" s="286"/>
      <c r="C3028" s="220"/>
      <c r="D3028" s="261"/>
      <c r="E3028" s="276"/>
      <c r="F3028" s="222"/>
      <c r="G3028" s="224"/>
    </row>
    <row r="3029" spans="1:7" s="1088" customFormat="1" ht="28.5" x14ac:dyDescent="0.2">
      <c r="A3029" s="1060" t="str">
        <f>B3023</f>
        <v>Brida loca HD d= 8"</v>
      </c>
      <c r="B3029" s="1068"/>
      <c r="C3029" s="225" t="s">
        <v>79</v>
      </c>
      <c r="D3029" s="221">
        <v>95120</v>
      </c>
      <c r="E3029" s="226">
        <v>1</v>
      </c>
      <c r="F3029" s="227"/>
      <c r="G3029" s="228">
        <f>D3029*E3029</f>
        <v>95120</v>
      </c>
    </row>
    <row r="3030" spans="1:7" s="1088" customFormat="1" ht="14.25" x14ac:dyDescent="0.2">
      <c r="A3030" s="1060"/>
      <c r="B3030" s="1068"/>
      <c r="C3030" s="229"/>
      <c r="D3030" s="221"/>
      <c r="E3030" s="226"/>
      <c r="F3030" s="227"/>
      <c r="G3030" s="228">
        <f>D3030*E3030</f>
        <v>0</v>
      </c>
    </row>
    <row r="3031" spans="1:7" s="1088" customFormat="1" ht="14.25" x14ac:dyDescent="0.2">
      <c r="A3031" s="1060"/>
      <c r="B3031" s="1068"/>
      <c r="C3031" s="225"/>
      <c r="D3031" s="221"/>
      <c r="E3031" s="226"/>
      <c r="F3031" s="227"/>
      <c r="G3031" s="228">
        <f>D3031*E3031</f>
        <v>0</v>
      </c>
    </row>
    <row r="3032" spans="1:7" s="1088" customFormat="1" ht="14.25" x14ac:dyDescent="0.2">
      <c r="A3032" s="1069"/>
      <c r="B3032" s="1070"/>
      <c r="C3032" s="230"/>
      <c r="D3032" s="231"/>
      <c r="E3032" s="232"/>
      <c r="F3032" s="233"/>
      <c r="G3032" s="228">
        <f>D3032*E3032</f>
        <v>0</v>
      </c>
    </row>
    <row r="3033" spans="1:7" s="1088" customFormat="1" ht="15" x14ac:dyDescent="0.25">
      <c r="A3033" s="1073"/>
      <c r="B3033" s="210"/>
      <c r="C3033" s="211"/>
      <c r="D3033" s="212"/>
      <c r="E3033" s="212"/>
      <c r="F3033" s="234" t="s">
        <v>121</v>
      </c>
      <c r="G3033" s="231">
        <f>+SUM(G3028:G3032)</f>
        <v>95120</v>
      </c>
    </row>
    <row r="3034" spans="1:7" s="1088" customFormat="1" ht="14.25" x14ac:dyDescent="0.2">
      <c r="A3034" s="209"/>
      <c r="B3034" s="212"/>
      <c r="C3034" s="211" t="s">
        <v>123</v>
      </c>
      <c r="D3034" s="212"/>
      <c r="E3034" s="213"/>
      <c r="F3034" s="214"/>
      <c r="G3034" s="215"/>
    </row>
    <row r="3035" spans="1:7" s="1088" customFormat="1" ht="15" x14ac:dyDescent="0.25">
      <c r="A3035" s="216" t="s">
        <v>122</v>
      </c>
      <c r="B3035" s="212"/>
      <c r="C3035" s="211" t="s">
        <v>123</v>
      </c>
      <c r="D3035" s="212"/>
      <c r="E3035" s="213"/>
      <c r="F3035" s="214"/>
      <c r="G3035" s="215"/>
    </row>
    <row r="3036" spans="1:7" s="1088" customFormat="1" ht="14.25" x14ac:dyDescent="0.2">
      <c r="A3036" s="209"/>
      <c r="B3036" s="212"/>
      <c r="C3036" s="211"/>
      <c r="D3036" s="212"/>
      <c r="E3036" s="213"/>
      <c r="F3036" s="214"/>
      <c r="G3036" s="215"/>
    </row>
    <row r="3037" spans="1:7" s="1088" customFormat="1" ht="15" x14ac:dyDescent="0.25">
      <c r="A3037" s="1071" t="s">
        <v>116</v>
      </c>
      <c r="B3037" s="1072"/>
      <c r="C3037" s="235" t="s">
        <v>117</v>
      </c>
      <c r="D3037" s="236" t="s">
        <v>124</v>
      </c>
      <c r="E3037" s="236" t="s">
        <v>125</v>
      </c>
      <c r="F3037" s="237" t="s">
        <v>126</v>
      </c>
      <c r="G3037" s="238" t="s">
        <v>120</v>
      </c>
    </row>
    <row r="3038" spans="1:7" s="1088" customFormat="1" ht="28.5" x14ac:dyDescent="0.2">
      <c r="A3038" s="1066" t="s">
        <v>127</v>
      </c>
      <c r="B3038" s="1067"/>
      <c r="C3038" s="239" t="s">
        <v>128</v>
      </c>
      <c r="D3038" s="239"/>
      <c r="E3038" s="241"/>
      <c r="F3038" s="222"/>
      <c r="G3038" s="242">
        <f>G3052*0.05</f>
        <v>1108.4796800000001</v>
      </c>
    </row>
    <row r="3039" spans="1:7" s="1088" customFormat="1" ht="14.25" x14ac:dyDescent="0.2">
      <c r="A3039" s="1256"/>
      <c r="B3039" s="1257"/>
      <c r="C3039" s="220"/>
      <c r="D3039" s="296"/>
      <c r="E3039" s="289">
        <v>1</v>
      </c>
      <c r="F3039" s="290">
        <v>1</v>
      </c>
      <c r="G3039" s="242">
        <f>D3039*F3039</f>
        <v>0</v>
      </c>
    </row>
    <row r="3040" spans="1:7" s="1088" customFormat="1" ht="14.25" x14ac:dyDescent="0.2">
      <c r="A3040" s="1073"/>
      <c r="B3040" s="1074"/>
      <c r="C3040" s="243"/>
      <c r="D3040" s="245"/>
      <c r="E3040" s="244"/>
      <c r="F3040" s="222"/>
      <c r="G3040" s="224"/>
    </row>
    <row r="3041" spans="1:7" s="1088" customFormat="1" ht="14.25" x14ac:dyDescent="0.2">
      <c r="A3041" s="209"/>
      <c r="B3041" s="245"/>
      <c r="C3041" s="246"/>
      <c r="D3041" s="250"/>
      <c r="E3041" s="247"/>
      <c r="F3041" s="222"/>
      <c r="G3041" s="248"/>
    </row>
    <row r="3042" spans="1:7" s="1088" customFormat="1" ht="14.25" x14ac:dyDescent="0.2">
      <c r="A3042" s="249"/>
      <c r="B3042" s="250"/>
      <c r="C3042" s="251"/>
      <c r="D3042" s="252"/>
      <c r="E3042" s="253"/>
      <c r="F3042" s="254"/>
      <c r="G3042" s="255"/>
    </row>
    <row r="3043" spans="1:7" s="1088" customFormat="1" ht="15" x14ac:dyDescent="0.25">
      <c r="A3043" s="209"/>
      <c r="B3043" s="214"/>
      <c r="C3043" s="256"/>
      <c r="D3043" s="214"/>
      <c r="E3043" s="212"/>
      <c r="F3043" s="257" t="s">
        <v>121</v>
      </c>
      <c r="G3043" s="258">
        <f>+SUM(G3038:G3042)</f>
        <v>1108.4796800000001</v>
      </c>
    </row>
    <row r="3044" spans="1:7" s="1088" customFormat="1" ht="14.25" customHeight="1" x14ac:dyDescent="0.2">
      <c r="A3044" s="209"/>
      <c r="B3044" s="212"/>
      <c r="C3044" s="211"/>
      <c r="D3044" s="212"/>
      <c r="E3044" s="213"/>
      <c r="F3044" s="212"/>
      <c r="G3044" s="215"/>
    </row>
    <row r="3045" spans="1:7" s="1088" customFormat="1" ht="15" x14ac:dyDescent="0.25">
      <c r="A3045" s="216" t="s">
        <v>130</v>
      </c>
      <c r="B3045" s="212"/>
      <c r="C3045" s="211"/>
      <c r="D3045" s="212"/>
      <c r="E3045" s="213"/>
      <c r="F3045" s="214"/>
      <c r="G3045" s="215"/>
    </row>
    <row r="3046" spans="1:7" s="1088" customFormat="1" ht="14.25" x14ac:dyDescent="0.2">
      <c r="A3046" s="209"/>
      <c r="B3046" s="212"/>
      <c r="C3046" s="211"/>
      <c r="D3046" s="212"/>
      <c r="E3046" s="213"/>
      <c r="F3046" s="214"/>
      <c r="G3046" s="215"/>
    </row>
    <row r="3047" spans="1:7" s="1088" customFormat="1" ht="15" x14ac:dyDescent="0.25">
      <c r="A3047" s="1071" t="s">
        <v>116</v>
      </c>
      <c r="B3047" s="1072"/>
      <c r="C3047" s="236" t="s">
        <v>131</v>
      </c>
      <c r="D3047" s="235" t="s">
        <v>132</v>
      </c>
      <c r="E3047" s="236" t="s">
        <v>133</v>
      </c>
      <c r="F3047" s="237" t="s">
        <v>126</v>
      </c>
      <c r="G3047" s="238" t="s">
        <v>134</v>
      </c>
    </row>
    <row r="3048" spans="1:7" s="1088" customFormat="1" ht="14.25" x14ac:dyDescent="0.2">
      <c r="A3048" s="209" t="s">
        <v>10</v>
      </c>
      <c r="B3048" s="259"/>
      <c r="C3048" s="260">
        <f>M2</f>
        <v>22981.8</v>
      </c>
      <c r="D3048" s="261">
        <f>N2</f>
        <v>1.76</v>
      </c>
      <c r="E3048" s="276">
        <f>C3048*D3048</f>
        <v>40447.968000000001</v>
      </c>
      <c r="F3048" s="222">
        <f>1/5</f>
        <v>0.2</v>
      </c>
      <c r="G3048" s="224">
        <f>F3048*E3048</f>
        <v>8089.5936000000002</v>
      </c>
    </row>
    <row r="3049" spans="1:7" s="1088" customFormat="1" ht="14.25" x14ac:dyDescent="0.2">
      <c r="A3049" s="209" t="s">
        <v>140</v>
      </c>
      <c r="B3049" s="259"/>
      <c r="C3049" s="260">
        <f>M3</f>
        <v>40000</v>
      </c>
      <c r="D3049" s="261">
        <f>N3</f>
        <v>1.76</v>
      </c>
      <c r="E3049" s="276">
        <f>C3049*D3049</f>
        <v>70400</v>
      </c>
      <c r="F3049" s="222">
        <f>1/5</f>
        <v>0.2</v>
      </c>
      <c r="G3049" s="224">
        <f>F3049*E3049</f>
        <v>14080</v>
      </c>
    </row>
    <row r="3050" spans="1:7" s="1088" customFormat="1" ht="14.25" x14ac:dyDescent="0.2">
      <c r="A3050" s="209"/>
      <c r="B3050" s="245"/>
      <c r="C3050" s="265"/>
      <c r="D3050" s="246"/>
      <c r="E3050" s="265"/>
      <c r="F3050" s="266"/>
      <c r="G3050" s="267"/>
    </row>
    <row r="3051" spans="1:7" s="1088" customFormat="1" ht="14.25" x14ac:dyDescent="0.2">
      <c r="A3051" s="249"/>
      <c r="B3051" s="250"/>
      <c r="C3051" s="252"/>
      <c r="D3051" s="251"/>
      <c r="E3051" s="252"/>
      <c r="F3051" s="254"/>
      <c r="G3051" s="268"/>
    </row>
    <row r="3052" spans="1:7" s="1088" customFormat="1" ht="15" x14ac:dyDescent="0.25">
      <c r="A3052" s="209"/>
      <c r="B3052" s="212"/>
      <c r="C3052" s="211"/>
      <c r="D3052" s="212"/>
      <c r="E3052" s="269"/>
      <c r="F3052" s="269" t="s">
        <v>121</v>
      </c>
      <c r="G3052" s="270">
        <f>+SUM(G3048:G3051)</f>
        <v>22169.5936</v>
      </c>
    </row>
    <row r="3053" spans="1:7" s="1088" customFormat="1" ht="15" x14ac:dyDescent="0.25">
      <c r="A3053" s="209"/>
      <c r="B3053" s="212"/>
      <c r="C3053" s="211"/>
      <c r="D3053" s="212"/>
      <c r="E3053" s="257"/>
      <c r="F3053" s="257"/>
      <c r="G3053" s="271"/>
    </row>
    <row r="3054" spans="1:7" s="1088" customFormat="1" ht="15" x14ac:dyDescent="0.25">
      <c r="A3054" s="216" t="s">
        <v>135</v>
      </c>
      <c r="B3054" s="212"/>
      <c r="C3054" s="211"/>
      <c r="D3054" s="212"/>
      <c r="E3054" s="213"/>
      <c r="F3054" s="214"/>
      <c r="G3054" s="215"/>
    </row>
    <row r="3055" spans="1:7" s="1088" customFormat="1" ht="14.25" x14ac:dyDescent="0.2">
      <c r="A3055" s="209"/>
      <c r="B3055" s="212"/>
      <c r="C3055" s="211"/>
      <c r="D3055" s="212"/>
      <c r="E3055" s="213"/>
      <c r="F3055" s="214"/>
      <c r="G3055" s="215"/>
    </row>
    <row r="3056" spans="1:7" s="1088" customFormat="1" ht="15" x14ac:dyDescent="0.25">
      <c r="A3056" s="1071" t="s">
        <v>116</v>
      </c>
      <c r="B3056" s="1072"/>
      <c r="C3056" s="236" t="s">
        <v>117</v>
      </c>
      <c r="D3056" s="235" t="s">
        <v>136</v>
      </c>
      <c r="E3056" s="236" t="s">
        <v>124</v>
      </c>
      <c r="F3056" s="237" t="s">
        <v>126</v>
      </c>
      <c r="G3056" s="238" t="s">
        <v>134</v>
      </c>
    </row>
    <row r="3057" spans="1:7" s="1088" customFormat="1" ht="14.25" x14ac:dyDescent="0.2">
      <c r="A3057" s="209" t="s">
        <v>175</v>
      </c>
      <c r="B3057" s="286"/>
      <c r="C3057" s="287" t="s">
        <v>79</v>
      </c>
      <c r="D3057" s="261"/>
      <c r="E3057" s="276">
        <v>68000</v>
      </c>
      <c r="F3057" s="222">
        <f>1/15</f>
        <v>6.6666666666666666E-2</v>
      </c>
      <c r="G3057" s="224">
        <f>F3057*E3057</f>
        <v>4533.333333333333</v>
      </c>
    </row>
    <row r="3058" spans="1:7" s="1088" customFormat="1" ht="14.25" x14ac:dyDescent="0.2">
      <c r="A3058" s="209"/>
      <c r="B3058" s="275"/>
      <c r="C3058" s="260"/>
      <c r="D3058" s="261"/>
      <c r="E3058" s="276"/>
      <c r="F3058" s="222"/>
      <c r="G3058" s="224"/>
    </row>
    <row r="3059" spans="1:7" s="1088" customFormat="1" ht="14.25" x14ac:dyDescent="0.2">
      <c r="A3059" s="209"/>
      <c r="B3059" s="259"/>
      <c r="C3059" s="260"/>
      <c r="D3059" s="261"/>
      <c r="E3059" s="276"/>
      <c r="F3059" s="222"/>
      <c r="G3059" s="224"/>
    </row>
    <row r="3060" spans="1:7" s="1088" customFormat="1" ht="14.25" x14ac:dyDescent="0.2">
      <c r="A3060" s="209"/>
      <c r="B3060" s="259"/>
      <c r="C3060" s="260"/>
      <c r="D3060" s="261"/>
      <c r="E3060" s="276"/>
      <c r="F3060" s="222"/>
      <c r="G3060" s="224"/>
    </row>
    <row r="3061" spans="1:7" s="1088" customFormat="1" ht="14.25" x14ac:dyDescent="0.2">
      <c r="A3061" s="209"/>
      <c r="B3061" s="245"/>
      <c r="C3061" s="265"/>
      <c r="D3061" s="246"/>
      <c r="E3061" s="265"/>
      <c r="F3061" s="266"/>
      <c r="G3061" s="267"/>
    </row>
    <row r="3062" spans="1:7" s="1088" customFormat="1" ht="14.25" x14ac:dyDescent="0.2">
      <c r="A3062" s="249"/>
      <c r="B3062" s="250"/>
      <c r="C3062" s="252"/>
      <c r="D3062" s="251"/>
      <c r="E3062" s="252"/>
      <c r="F3062" s="254"/>
      <c r="G3062" s="268"/>
    </row>
    <row r="3063" spans="1:7" s="1088" customFormat="1" ht="15" x14ac:dyDescent="0.25">
      <c r="A3063" s="209"/>
      <c r="B3063" s="212"/>
      <c r="C3063" s="211"/>
      <c r="D3063" s="212"/>
      <c r="E3063" s="269"/>
      <c r="F3063" s="269" t="s">
        <v>121</v>
      </c>
      <c r="G3063" s="270">
        <f>+SUM(G3057:G3062)</f>
        <v>4533.333333333333</v>
      </c>
    </row>
    <row r="3064" spans="1:7" s="1088" customFormat="1" ht="14.25" x14ac:dyDescent="0.2">
      <c r="A3064" s="209"/>
      <c r="B3064" s="212"/>
      <c r="C3064" s="211"/>
      <c r="D3064" s="212"/>
      <c r="E3064" s="213"/>
      <c r="F3064" s="214"/>
      <c r="G3064" s="271"/>
    </row>
    <row r="3065" spans="1:7" s="1088" customFormat="1" ht="15" x14ac:dyDescent="0.25">
      <c r="A3065" s="277"/>
      <c r="B3065" s="278"/>
      <c r="C3065" s="278"/>
      <c r="D3065" s="278"/>
      <c r="E3065" s="279"/>
      <c r="F3065" s="280" t="s">
        <v>137</v>
      </c>
      <c r="G3065" s="283">
        <f>+ROUND(G3033+G3043+G3052+G3063,0)</f>
        <v>122931</v>
      </c>
    </row>
    <row r="3066" spans="1:7" s="1088" customFormat="1" ht="14.25" x14ac:dyDescent="0.2">
      <c r="A3066" s="277"/>
      <c r="B3066" s="278"/>
      <c r="C3066" s="278"/>
      <c r="D3066" s="278"/>
      <c r="E3066" s="279"/>
      <c r="F3066" s="279"/>
      <c r="G3066" s="279"/>
    </row>
    <row r="3067" spans="1:7" s="1088" customFormat="1" ht="15" x14ac:dyDescent="0.25">
      <c r="A3067" s="277"/>
      <c r="B3067" s="278"/>
      <c r="C3067" s="278"/>
      <c r="D3067" s="278"/>
      <c r="E3067" s="279"/>
      <c r="F3067" s="280"/>
      <c r="G3067" s="280"/>
    </row>
    <row r="3068" spans="1:7" s="745" customFormat="1" ht="15" x14ac:dyDescent="0.25">
      <c r="A3068" s="298" t="s">
        <v>114</v>
      </c>
      <c r="B3068" s="1274" t="s">
        <v>1</v>
      </c>
      <c r="C3068" s="1275"/>
      <c r="D3068" s="1275"/>
      <c r="E3068" s="1275"/>
      <c r="F3068" s="1276"/>
      <c r="G3068" s="299" t="s">
        <v>2</v>
      </c>
    </row>
    <row r="3069" spans="1:7" s="745" customFormat="1" ht="15" x14ac:dyDescent="0.25">
      <c r="A3069" s="1051">
        <f>'FORMATO PROPUESTA ECONÓMICA'!A89</f>
        <v>8.11</v>
      </c>
      <c r="B3069" s="1277" t="str">
        <f>'FORMATO PROPUESTA ECONÓMICA'!B89</f>
        <v>Válvula de compuerta elástica vástago no ascendente bridada d = 2"</v>
      </c>
      <c r="C3069" s="1278"/>
      <c r="D3069" s="1278"/>
      <c r="E3069" s="1278"/>
      <c r="F3069" s="1279"/>
      <c r="G3069" s="300" t="str">
        <f>'FORMATO PROPUESTA ECONÓMICA'!C89</f>
        <v>und</v>
      </c>
    </row>
    <row r="3070" spans="1:7" s="745" customFormat="1" ht="15" x14ac:dyDescent="0.25">
      <c r="A3070" s="182"/>
      <c r="B3070" s="1079"/>
      <c r="C3070" s="301"/>
      <c r="D3070" s="182"/>
      <c r="E3070" s="302"/>
      <c r="F3070" s="303"/>
      <c r="G3070" s="304"/>
    </row>
    <row r="3071" spans="1:7" s="745" customFormat="1" ht="15" x14ac:dyDescent="0.25">
      <c r="A3071" s="305" t="s">
        <v>115</v>
      </c>
      <c r="B3071" s="182"/>
      <c r="C3071" s="301"/>
      <c r="D3071" s="182"/>
      <c r="E3071" s="302"/>
      <c r="F3071" s="303"/>
      <c r="G3071" s="304"/>
    </row>
    <row r="3072" spans="1:7" s="745" customFormat="1" ht="15" x14ac:dyDescent="0.25">
      <c r="A3072" s="182"/>
      <c r="B3072" s="182"/>
      <c r="C3072" s="301"/>
      <c r="D3072" s="182"/>
      <c r="E3072" s="302"/>
      <c r="F3072" s="303"/>
      <c r="G3072" s="304"/>
    </row>
    <row r="3073" spans="1:7" s="745" customFormat="1" ht="15" customHeight="1" x14ac:dyDescent="0.25">
      <c r="A3073" s="1268" t="s">
        <v>116</v>
      </c>
      <c r="B3073" s="1268"/>
      <c r="C3073" s="306" t="s">
        <v>117</v>
      </c>
      <c r="D3073" s="1075" t="s">
        <v>118</v>
      </c>
      <c r="E3073" s="218" t="s">
        <v>39</v>
      </c>
      <c r="F3073" s="1075" t="s">
        <v>119</v>
      </c>
      <c r="G3073" s="307" t="s">
        <v>120</v>
      </c>
    </row>
    <row r="3074" spans="1:7" s="745" customFormat="1" ht="15" x14ac:dyDescent="0.25">
      <c r="A3074" s="1269" t="str">
        <f>B3069</f>
        <v>Válvula de compuerta elástica vástago no ascendente bridada d = 2"</v>
      </c>
      <c r="B3074" s="1269"/>
      <c r="C3074" s="308" t="s">
        <v>79</v>
      </c>
      <c r="D3074" s="309">
        <v>352640</v>
      </c>
      <c r="E3074" s="310">
        <v>1</v>
      </c>
      <c r="F3074" s="311">
        <v>0</v>
      </c>
      <c r="G3074" s="312">
        <f>D3074*(E3074+F3074)</f>
        <v>352640</v>
      </c>
    </row>
    <row r="3075" spans="1:7" s="745" customFormat="1" ht="15" x14ac:dyDescent="0.25">
      <c r="A3075" s="1261"/>
      <c r="B3075" s="1261"/>
      <c r="C3075" s="313"/>
      <c r="D3075" s="314"/>
      <c r="E3075" s="315"/>
      <c r="F3075" s="316"/>
      <c r="G3075" s="317">
        <f>D3075*E3075</f>
        <v>0</v>
      </c>
    </row>
    <row r="3076" spans="1:7" s="745" customFormat="1" ht="15" x14ac:dyDescent="0.25">
      <c r="A3076" s="1261"/>
      <c r="B3076" s="1261"/>
      <c r="C3076" s="318"/>
      <c r="D3076" s="314"/>
      <c r="E3076" s="315"/>
      <c r="F3076" s="316"/>
      <c r="G3076" s="317">
        <f>D3076*E3076</f>
        <v>0</v>
      </c>
    </row>
    <row r="3077" spans="1:7" s="745" customFormat="1" ht="15" x14ac:dyDescent="0.25">
      <c r="A3077" s="1261"/>
      <c r="B3077" s="1261"/>
      <c r="C3077" s="313"/>
      <c r="D3077" s="314"/>
      <c r="E3077" s="315"/>
      <c r="F3077" s="316"/>
      <c r="G3077" s="317">
        <f>D3077*E3077</f>
        <v>0</v>
      </c>
    </row>
    <row r="3078" spans="1:7" s="745" customFormat="1" ht="15" x14ac:dyDescent="0.25">
      <c r="A3078" s="1063"/>
      <c r="B3078" s="1063"/>
      <c r="C3078" s="318"/>
      <c r="D3078" s="314"/>
      <c r="E3078" s="315"/>
      <c r="F3078" s="319"/>
      <c r="G3078" s="317">
        <f>D3078*E3078</f>
        <v>0</v>
      </c>
    </row>
    <row r="3079" spans="1:7" s="745" customFormat="1" ht="15" x14ac:dyDescent="0.25">
      <c r="A3079" s="1079"/>
      <c r="B3079" s="1079"/>
      <c r="C3079" s="301"/>
      <c r="D3079" s="182"/>
      <c r="E3079" s="182"/>
      <c r="F3079" s="320" t="s">
        <v>121</v>
      </c>
      <c r="G3079" s="314">
        <f>+SUM(G3074:G3078)</f>
        <v>352640</v>
      </c>
    </row>
    <row r="3080" spans="1:7" s="745" customFormat="1" ht="15" x14ac:dyDescent="0.25">
      <c r="A3080" s="182"/>
      <c r="B3080" s="182"/>
      <c r="C3080" s="301" t="s">
        <v>123</v>
      </c>
      <c r="D3080" s="182"/>
      <c r="E3080" s="302"/>
      <c r="F3080" s="303"/>
      <c r="G3080" s="304"/>
    </row>
    <row r="3081" spans="1:7" s="745" customFormat="1" ht="15" x14ac:dyDescent="0.25">
      <c r="A3081" s="305" t="s">
        <v>122</v>
      </c>
      <c r="B3081" s="182"/>
      <c r="C3081" s="301" t="s">
        <v>123</v>
      </c>
      <c r="D3081" s="182"/>
      <c r="E3081" s="302"/>
      <c r="F3081" s="303"/>
      <c r="G3081" s="304"/>
    </row>
    <row r="3082" spans="1:7" s="745" customFormat="1" ht="15" x14ac:dyDescent="0.25">
      <c r="A3082" s="182"/>
      <c r="B3082" s="182"/>
      <c r="C3082" s="301"/>
      <c r="D3082" s="182"/>
      <c r="E3082" s="302"/>
      <c r="F3082" s="303"/>
      <c r="G3082" s="304"/>
    </row>
    <row r="3083" spans="1:7" s="745" customFormat="1" ht="15" x14ac:dyDescent="0.25">
      <c r="A3083" s="1075" t="s">
        <v>116</v>
      </c>
      <c r="B3083" s="1075"/>
      <c r="C3083" s="306" t="s">
        <v>117</v>
      </c>
      <c r="D3083" s="1075" t="s">
        <v>124</v>
      </c>
      <c r="E3083" s="1075" t="s">
        <v>125</v>
      </c>
      <c r="F3083" s="321" t="s">
        <v>126</v>
      </c>
      <c r="G3083" s="307" t="s">
        <v>120</v>
      </c>
    </row>
    <row r="3084" spans="1:7" s="745" customFormat="1" ht="29.25" x14ac:dyDescent="0.25">
      <c r="A3084" s="1063" t="s">
        <v>127</v>
      </c>
      <c r="B3084" s="1063"/>
      <c r="C3084" s="318" t="s">
        <v>128</v>
      </c>
      <c r="D3084" s="312"/>
      <c r="E3084" s="322"/>
      <c r="F3084" s="323"/>
      <c r="G3084" s="324">
        <f>G3098*0.05</f>
        <v>1385.5996</v>
      </c>
    </row>
    <row r="3085" spans="1:7" s="745" customFormat="1" ht="15" x14ac:dyDescent="0.25">
      <c r="A3085" s="1079"/>
      <c r="B3085" s="1079"/>
      <c r="C3085" s="313"/>
      <c r="D3085" s="314"/>
      <c r="E3085" s="325"/>
      <c r="F3085" s="323"/>
      <c r="G3085" s="314"/>
    </row>
    <row r="3086" spans="1:7" s="745" customFormat="1" ht="15" x14ac:dyDescent="0.25">
      <c r="A3086" s="1079"/>
      <c r="B3086" s="1079"/>
      <c r="C3086" s="313"/>
      <c r="D3086" s="314"/>
      <c r="E3086" s="325"/>
      <c r="F3086" s="323"/>
      <c r="G3086" s="314"/>
    </row>
    <row r="3087" spans="1:7" s="745" customFormat="1" ht="15" x14ac:dyDescent="0.25">
      <c r="A3087" s="182"/>
      <c r="B3087" s="303"/>
      <c r="C3087" s="318"/>
      <c r="D3087" s="314"/>
      <c r="E3087" s="325"/>
      <c r="F3087" s="323"/>
      <c r="G3087" s="258"/>
    </row>
    <row r="3088" spans="1:7" s="745" customFormat="1" ht="15" x14ac:dyDescent="0.25">
      <c r="A3088" s="182"/>
      <c r="B3088" s="303"/>
      <c r="C3088" s="318"/>
      <c r="D3088" s="326"/>
      <c r="E3088" s="325"/>
      <c r="F3088" s="303"/>
      <c r="G3088" s="327"/>
    </row>
    <row r="3089" spans="1:7" s="745" customFormat="1" ht="15" x14ac:dyDescent="0.25">
      <c r="A3089" s="182"/>
      <c r="B3089" s="303"/>
      <c r="C3089" s="318"/>
      <c r="D3089" s="303"/>
      <c r="E3089" s="182"/>
      <c r="F3089" s="320" t="s">
        <v>121</v>
      </c>
      <c r="G3089" s="258">
        <f>+SUM(G3084:G3088)</f>
        <v>1385.5996</v>
      </c>
    </row>
    <row r="3090" spans="1:7" s="745" customFormat="1" ht="15" x14ac:dyDescent="0.25">
      <c r="A3090" s="182"/>
      <c r="B3090" s="182"/>
      <c r="C3090" s="301"/>
      <c r="D3090" s="182"/>
      <c r="E3090" s="302"/>
      <c r="F3090" s="182"/>
      <c r="G3090" s="304"/>
    </row>
    <row r="3091" spans="1:7" s="745" customFormat="1" ht="15" x14ac:dyDescent="0.25">
      <c r="A3091" s="305" t="s">
        <v>130</v>
      </c>
      <c r="B3091" s="182"/>
      <c r="C3091" s="301"/>
      <c r="D3091" s="182"/>
      <c r="E3091" s="302"/>
      <c r="F3091" s="303"/>
      <c r="G3091" s="304"/>
    </row>
    <row r="3092" spans="1:7" s="745" customFormat="1" ht="15" x14ac:dyDescent="0.25">
      <c r="A3092" s="182"/>
      <c r="B3092" s="182"/>
      <c r="C3092" s="301"/>
      <c r="D3092" s="182"/>
      <c r="E3092" s="302"/>
      <c r="F3092" s="303"/>
      <c r="G3092" s="304"/>
    </row>
    <row r="3093" spans="1:7" s="745" customFormat="1" ht="15" x14ac:dyDescent="0.25">
      <c r="A3093" s="1075" t="s">
        <v>116</v>
      </c>
      <c r="B3093" s="1075"/>
      <c r="C3093" s="1075" t="s">
        <v>131</v>
      </c>
      <c r="D3093" s="306" t="s">
        <v>132</v>
      </c>
      <c r="E3093" s="1075" t="s">
        <v>133</v>
      </c>
      <c r="F3093" s="321" t="s">
        <v>126</v>
      </c>
      <c r="G3093" s="307" t="s">
        <v>134</v>
      </c>
    </row>
    <row r="3094" spans="1:7" s="745" customFormat="1" ht="15" x14ac:dyDescent="0.25">
      <c r="A3094" s="182" t="s">
        <v>10</v>
      </c>
      <c r="B3094" s="328"/>
      <c r="C3094" s="329">
        <f>M2</f>
        <v>22981.8</v>
      </c>
      <c r="D3094" s="330">
        <f>N2</f>
        <v>1.76</v>
      </c>
      <c r="E3094" s="183">
        <f>D3094*C3094</f>
        <v>40447.968000000001</v>
      </c>
      <c r="F3094" s="331">
        <f>1/4</f>
        <v>0.25</v>
      </c>
      <c r="G3094" s="183">
        <f>F3094*E3094</f>
        <v>10111.992</v>
      </c>
    </row>
    <row r="3095" spans="1:7" s="745" customFormat="1" ht="15" x14ac:dyDescent="0.25">
      <c r="A3095" s="182" t="s">
        <v>140</v>
      </c>
      <c r="B3095" s="328"/>
      <c r="C3095" s="329">
        <f>M3</f>
        <v>40000</v>
      </c>
      <c r="D3095" s="330">
        <f>N3</f>
        <v>1.76</v>
      </c>
      <c r="E3095" s="183">
        <f>D3095*C3095</f>
        <v>70400</v>
      </c>
      <c r="F3095" s="331">
        <f>1/4</f>
        <v>0.25</v>
      </c>
      <c r="G3095" s="183">
        <f>F3095*E3095</f>
        <v>17600</v>
      </c>
    </row>
    <row r="3096" spans="1:7" s="745" customFormat="1" ht="15" x14ac:dyDescent="0.25">
      <c r="A3096" s="182"/>
      <c r="B3096" s="303"/>
      <c r="C3096" s="326"/>
      <c r="D3096" s="318"/>
      <c r="E3096" s="326"/>
      <c r="F3096" s="303"/>
      <c r="G3096" s="326"/>
    </row>
    <row r="3097" spans="1:7" s="745" customFormat="1" ht="15" x14ac:dyDescent="0.25">
      <c r="A3097" s="182"/>
      <c r="B3097" s="303"/>
      <c r="C3097" s="326"/>
      <c r="D3097" s="318"/>
      <c r="E3097" s="326"/>
      <c r="F3097" s="303"/>
      <c r="G3097" s="326"/>
    </row>
    <row r="3098" spans="1:7" s="745" customFormat="1" ht="15" x14ac:dyDescent="0.25">
      <c r="A3098" s="182"/>
      <c r="B3098" s="182"/>
      <c r="C3098" s="301"/>
      <c r="D3098" s="182"/>
      <c r="E3098" s="320"/>
      <c r="F3098" s="320" t="s">
        <v>121</v>
      </c>
      <c r="G3098" s="314">
        <f>+SUM(G3094:G3097)</f>
        <v>27711.991999999998</v>
      </c>
    </row>
    <row r="3099" spans="1:7" s="745" customFormat="1" ht="15" x14ac:dyDescent="0.25">
      <c r="A3099" s="182"/>
      <c r="B3099" s="182"/>
      <c r="C3099" s="301"/>
      <c r="D3099" s="182"/>
      <c r="E3099" s="320"/>
      <c r="F3099" s="320"/>
      <c r="G3099" s="314"/>
    </row>
    <row r="3100" spans="1:7" s="745" customFormat="1" ht="15" x14ac:dyDescent="0.25">
      <c r="A3100" s="305" t="s">
        <v>135</v>
      </c>
      <c r="B3100" s="182"/>
      <c r="C3100" s="301"/>
      <c r="D3100" s="182"/>
      <c r="E3100" s="302"/>
      <c r="F3100" s="303"/>
      <c r="G3100" s="304"/>
    </row>
    <row r="3101" spans="1:7" s="745" customFormat="1" ht="15" x14ac:dyDescent="0.25">
      <c r="A3101" s="182"/>
      <c r="B3101" s="182"/>
      <c r="C3101" s="301"/>
      <c r="D3101" s="182"/>
      <c r="E3101" s="302"/>
      <c r="F3101" s="303"/>
      <c r="G3101" s="304"/>
    </row>
    <row r="3102" spans="1:7" s="745" customFormat="1" ht="15" x14ac:dyDescent="0.25">
      <c r="A3102" s="1075" t="s">
        <v>116</v>
      </c>
      <c r="B3102" s="1075"/>
      <c r="C3102" s="1075" t="s">
        <v>117</v>
      </c>
      <c r="D3102" s="306" t="s">
        <v>136</v>
      </c>
      <c r="E3102" s="1075" t="s">
        <v>124</v>
      </c>
      <c r="F3102" s="321" t="s">
        <v>126</v>
      </c>
      <c r="G3102" s="307" t="s">
        <v>134</v>
      </c>
    </row>
    <row r="3103" spans="1:7" s="745" customFormat="1" ht="15" x14ac:dyDescent="0.25">
      <c r="A3103" s="150" t="s">
        <v>175</v>
      </c>
      <c r="B3103" s="332"/>
      <c r="C3103" s="333" t="s">
        <v>79</v>
      </c>
      <c r="D3103" s="330"/>
      <c r="E3103" s="183">
        <f>20000*1.7*2</f>
        <v>68000</v>
      </c>
      <c r="F3103" s="331">
        <f>1/4</f>
        <v>0.25</v>
      </c>
      <c r="G3103" s="183">
        <f>F3103*E3103</f>
        <v>17000</v>
      </c>
    </row>
    <row r="3104" spans="1:7" s="745" customFormat="1" ht="15" x14ac:dyDescent="0.25">
      <c r="A3104" s="182"/>
      <c r="B3104" s="334"/>
      <c r="C3104" s="329"/>
      <c r="D3104" s="330"/>
      <c r="E3104" s="314"/>
      <c r="F3104" s="323"/>
      <c r="G3104" s="314"/>
    </row>
    <row r="3105" spans="1:7" s="745" customFormat="1" ht="15" x14ac:dyDescent="0.25">
      <c r="A3105" s="182"/>
      <c r="B3105" s="328"/>
      <c r="C3105" s="329"/>
      <c r="D3105" s="330"/>
      <c r="E3105" s="314"/>
      <c r="F3105" s="323"/>
      <c r="G3105" s="314"/>
    </row>
    <row r="3106" spans="1:7" s="745" customFormat="1" ht="15" x14ac:dyDescent="0.25">
      <c r="A3106" s="182"/>
      <c r="B3106" s="328"/>
      <c r="C3106" s="329"/>
      <c r="D3106" s="330"/>
      <c r="E3106" s="314"/>
      <c r="F3106" s="323"/>
      <c r="G3106" s="314"/>
    </row>
    <row r="3107" spans="1:7" s="745" customFormat="1" ht="15" x14ac:dyDescent="0.25">
      <c r="A3107" s="182"/>
      <c r="B3107" s="303"/>
      <c r="C3107" s="326"/>
      <c r="D3107" s="318"/>
      <c r="E3107" s="326"/>
      <c r="F3107" s="303"/>
      <c r="G3107" s="326"/>
    </row>
    <row r="3108" spans="1:7" s="745" customFormat="1" ht="15" x14ac:dyDescent="0.25">
      <c r="A3108" s="182"/>
      <c r="B3108" s="303"/>
      <c r="C3108" s="326"/>
      <c r="D3108" s="318"/>
      <c r="E3108" s="326"/>
      <c r="F3108" s="303"/>
      <c r="G3108" s="326"/>
    </row>
    <row r="3109" spans="1:7" s="745" customFormat="1" ht="15" x14ac:dyDescent="0.25">
      <c r="A3109" s="182"/>
      <c r="B3109" s="182"/>
      <c r="C3109" s="301"/>
      <c r="D3109" s="182"/>
      <c r="E3109" s="320"/>
      <c r="F3109" s="320" t="s">
        <v>121</v>
      </c>
      <c r="G3109" s="314">
        <f>+SUM(G3103:G3108)</f>
        <v>17000</v>
      </c>
    </row>
    <row r="3110" spans="1:7" s="745" customFormat="1" ht="15" x14ac:dyDescent="0.25">
      <c r="A3110" s="182"/>
      <c r="B3110" s="182"/>
      <c r="C3110" s="301"/>
      <c r="D3110" s="182"/>
      <c r="E3110" s="302"/>
      <c r="F3110" s="303"/>
      <c r="G3110" s="314"/>
    </row>
    <row r="3111" spans="1:7" s="745" customFormat="1" ht="15" x14ac:dyDescent="0.25">
      <c r="A3111" s="182"/>
      <c r="B3111" s="182"/>
      <c r="C3111" s="182"/>
      <c r="D3111" s="182"/>
      <c r="E3111" s="301"/>
      <c r="F3111" s="320" t="s">
        <v>137</v>
      </c>
      <c r="G3111" s="283">
        <f>+ROUND(G3079+G3089+G3098+G3109,0)</f>
        <v>398738</v>
      </c>
    </row>
    <row r="3112" spans="1:7" s="1088" customFormat="1" ht="15" x14ac:dyDescent="0.25">
      <c r="A3112" s="277"/>
      <c r="B3112" s="278"/>
      <c r="C3112" s="278"/>
      <c r="D3112" s="278"/>
      <c r="E3112" s="279"/>
      <c r="F3112" s="280"/>
      <c r="G3112" s="280"/>
    </row>
    <row r="3113" spans="1:7" s="745" customFormat="1" ht="15" x14ac:dyDescent="0.25">
      <c r="A3113" s="298" t="s">
        <v>114</v>
      </c>
      <c r="B3113" s="1274" t="s">
        <v>1</v>
      </c>
      <c r="C3113" s="1275"/>
      <c r="D3113" s="1275"/>
      <c r="E3113" s="1275"/>
      <c r="F3113" s="1276"/>
      <c r="G3113" s="299" t="s">
        <v>2</v>
      </c>
    </row>
    <row r="3114" spans="1:7" s="745" customFormat="1" ht="15" x14ac:dyDescent="0.25">
      <c r="A3114" s="1051">
        <f>'FORMATO PROPUESTA ECONÓMICA'!A90</f>
        <v>8.1199999999999992</v>
      </c>
      <c r="B3114" s="1277" t="str">
        <f>'FORMATO PROPUESTA ECONÓMICA'!B90</f>
        <v>Válvula de compuerta elástica vástago no ascendente bridada d = 3"</v>
      </c>
      <c r="C3114" s="1278"/>
      <c r="D3114" s="1278"/>
      <c r="E3114" s="1278"/>
      <c r="F3114" s="1279"/>
      <c r="G3114" s="300" t="str">
        <f>'FORMATO PROPUESTA ECONÓMICA'!C90</f>
        <v>und</v>
      </c>
    </row>
    <row r="3115" spans="1:7" s="745" customFormat="1" ht="15" x14ac:dyDescent="0.25">
      <c r="A3115" s="182"/>
      <c r="B3115" s="1079"/>
      <c r="C3115" s="301"/>
      <c r="D3115" s="182"/>
      <c r="E3115" s="302"/>
      <c r="F3115" s="303"/>
      <c r="G3115" s="304"/>
    </row>
    <row r="3116" spans="1:7" s="745" customFormat="1" ht="15" x14ac:dyDescent="0.25">
      <c r="A3116" s="305" t="s">
        <v>115</v>
      </c>
      <c r="B3116" s="182"/>
      <c r="C3116" s="301"/>
      <c r="D3116" s="182"/>
      <c r="E3116" s="302"/>
      <c r="F3116" s="303"/>
      <c r="G3116" s="304"/>
    </row>
    <row r="3117" spans="1:7" s="745" customFormat="1" ht="15" x14ac:dyDescent="0.25">
      <c r="A3117" s="182"/>
      <c r="B3117" s="182"/>
      <c r="C3117" s="301"/>
      <c r="D3117" s="182"/>
      <c r="E3117" s="302"/>
      <c r="F3117" s="303"/>
      <c r="G3117" s="304"/>
    </row>
    <row r="3118" spans="1:7" s="745" customFormat="1" ht="15" customHeight="1" x14ac:dyDescent="0.25">
      <c r="A3118" s="1268" t="s">
        <v>116</v>
      </c>
      <c r="B3118" s="1268"/>
      <c r="C3118" s="306" t="s">
        <v>117</v>
      </c>
      <c r="D3118" s="1075" t="s">
        <v>118</v>
      </c>
      <c r="E3118" s="218" t="s">
        <v>39</v>
      </c>
      <c r="F3118" s="1075" t="s">
        <v>119</v>
      </c>
      <c r="G3118" s="307" t="s">
        <v>120</v>
      </c>
    </row>
    <row r="3119" spans="1:7" s="745" customFormat="1" ht="15" x14ac:dyDescent="0.25">
      <c r="A3119" s="1269" t="str">
        <f>B3114</f>
        <v>Válvula de compuerta elástica vástago no ascendente bridada d = 3"</v>
      </c>
      <c r="B3119" s="1269"/>
      <c r="C3119" s="308" t="s">
        <v>79</v>
      </c>
      <c r="D3119" s="309">
        <v>563760</v>
      </c>
      <c r="E3119" s="310">
        <v>1</v>
      </c>
      <c r="F3119" s="311">
        <v>0</v>
      </c>
      <c r="G3119" s="312">
        <f>D3119*(E3119+F3119)</f>
        <v>563760</v>
      </c>
    </row>
    <row r="3120" spans="1:7" s="745" customFormat="1" ht="15" x14ac:dyDescent="0.25">
      <c r="A3120" s="1261"/>
      <c r="B3120" s="1261"/>
      <c r="C3120" s="313"/>
      <c r="D3120" s="314"/>
      <c r="E3120" s="315"/>
      <c r="F3120" s="316"/>
      <c r="G3120" s="317">
        <f>D3120*E3120</f>
        <v>0</v>
      </c>
    </row>
    <row r="3121" spans="1:7" s="745" customFormat="1" ht="15" x14ac:dyDescent="0.25">
      <c r="A3121" s="1261"/>
      <c r="B3121" s="1261"/>
      <c r="C3121" s="318"/>
      <c r="D3121" s="314"/>
      <c r="E3121" s="315"/>
      <c r="F3121" s="316"/>
      <c r="G3121" s="317">
        <f>D3121*E3121</f>
        <v>0</v>
      </c>
    </row>
    <row r="3122" spans="1:7" s="745" customFormat="1" ht="15" x14ac:dyDescent="0.25">
      <c r="A3122" s="1261"/>
      <c r="B3122" s="1261"/>
      <c r="C3122" s="313"/>
      <c r="D3122" s="314"/>
      <c r="E3122" s="315"/>
      <c r="F3122" s="316"/>
      <c r="G3122" s="317">
        <f>D3122*E3122</f>
        <v>0</v>
      </c>
    </row>
    <row r="3123" spans="1:7" s="745" customFormat="1" ht="15" x14ac:dyDescent="0.25">
      <c r="A3123" s="1063"/>
      <c r="B3123" s="1063"/>
      <c r="C3123" s="318"/>
      <c r="D3123" s="314"/>
      <c r="E3123" s="315"/>
      <c r="F3123" s="319"/>
      <c r="G3123" s="317">
        <f>D3123*E3123</f>
        <v>0</v>
      </c>
    </row>
    <row r="3124" spans="1:7" s="745" customFormat="1" ht="15" x14ac:dyDescent="0.25">
      <c r="A3124" s="1079"/>
      <c r="B3124" s="1079"/>
      <c r="C3124" s="301"/>
      <c r="D3124" s="182"/>
      <c r="E3124" s="182"/>
      <c r="F3124" s="320" t="s">
        <v>121</v>
      </c>
      <c r="G3124" s="314">
        <f>+SUM(G3119:G3123)</f>
        <v>563760</v>
      </c>
    </row>
    <row r="3125" spans="1:7" s="745" customFormat="1" ht="15" x14ac:dyDescent="0.25">
      <c r="A3125" s="182"/>
      <c r="B3125" s="182"/>
      <c r="C3125" s="301" t="s">
        <v>123</v>
      </c>
      <c r="D3125" s="182"/>
      <c r="E3125" s="302"/>
      <c r="F3125" s="303"/>
      <c r="G3125" s="304"/>
    </row>
    <row r="3126" spans="1:7" s="745" customFormat="1" ht="15" x14ac:dyDescent="0.25">
      <c r="A3126" s="305" t="s">
        <v>122</v>
      </c>
      <c r="B3126" s="182"/>
      <c r="C3126" s="301" t="s">
        <v>123</v>
      </c>
      <c r="D3126" s="182"/>
      <c r="E3126" s="302"/>
      <c r="F3126" s="303"/>
      <c r="G3126" s="304"/>
    </row>
    <row r="3127" spans="1:7" s="745" customFormat="1" ht="15" x14ac:dyDescent="0.25">
      <c r="A3127" s="182"/>
      <c r="B3127" s="182"/>
      <c r="C3127" s="301"/>
      <c r="D3127" s="182"/>
      <c r="E3127" s="302"/>
      <c r="F3127" s="303"/>
      <c r="G3127" s="304"/>
    </row>
    <row r="3128" spans="1:7" s="745" customFormat="1" ht="15" x14ac:dyDescent="0.25">
      <c r="A3128" s="1075" t="s">
        <v>116</v>
      </c>
      <c r="B3128" s="1075"/>
      <c r="C3128" s="306" t="s">
        <v>117</v>
      </c>
      <c r="D3128" s="1075" t="s">
        <v>124</v>
      </c>
      <c r="E3128" s="1075" t="s">
        <v>125</v>
      </c>
      <c r="F3128" s="321" t="s">
        <v>126</v>
      </c>
      <c r="G3128" s="307" t="s">
        <v>120</v>
      </c>
    </row>
    <row r="3129" spans="1:7" s="745" customFormat="1" ht="29.25" x14ac:dyDescent="0.25">
      <c r="A3129" s="1063" t="s">
        <v>127</v>
      </c>
      <c r="B3129" s="1063"/>
      <c r="C3129" s="318" t="s">
        <v>128</v>
      </c>
      <c r="D3129" s="312"/>
      <c r="E3129" s="322"/>
      <c r="F3129" s="323"/>
      <c r="G3129" s="324">
        <f>G3143*0.05</f>
        <v>1891.1992</v>
      </c>
    </row>
    <row r="3130" spans="1:7" s="745" customFormat="1" ht="15" x14ac:dyDescent="0.25">
      <c r="A3130" s="1079"/>
      <c r="B3130" s="1079"/>
      <c r="C3130" s="313"/>
      <c r="D3130" s="314"/>
      <c r="E3130" s="325"/>
      <c r="F3130" s="323"/>
      <c r="G3130" s="314"/>
    </row>
    <row r="3131" spans="1:7" s="745" customFormat="1" ht="15" x14ac:dyDescent="0.25">
      <c r="A3131" s="1079"/>
      <c r="B3131" s="1079"/>
      <c r="C3131" s="313"/>
      <c r="D3131" s="314"/>
      <c r="E3131" s="325"/>
      <c r="F3131" s="323"/>
      <c r="G3131" s="314"/>
    </row>
    <row r="3132" spans="1:7" s="745" customFormat="1" ht="15" x14ac:dyDescent="0.25">
      <c r="A3132" s="182"/>
      <c r="B3132" s="303"/>
      <c r="C3132" s="318"/>
      <c r="D3132" s="314"/>
      <c r="E3132" s="325"/>
      <c r="F3132" s="323"/>
      <c r="G3132" s="258"/>
    </row>
    <row r="3133" spans="1:7" s="745" customFormat="1" ht="15" x14ac:dyDescent="0.25">
      <c r="A3133" s="182"/>
      <c r="B3133" s="303"/>
      <c r="C3133" s="318"/>
      <c r="D3133" s="326"/>
      <c r="E3133" s="325"/>
      <c r="F3133" s="303"/>
      <c r="G3133" s="327"/>
    </row>
    <row r="3134" spans="1:7" s="745" customFormat="1" ht="15" x14ac:dyDescent="0.25">
      <c r="A3134" s="182"/>
      <c r="B3134" s="303"/>
      <c r="C3134" s="318"/>
      <c r="D3134" s="303"/>
      <c r="E3134" s="182"/>
      <c r="F3134" s="320" t="s">
        <v>121</v>
      </c>
      <c r="G3134" s="258">
        <f>+SUM(G3129:G3133)</f>
        <v>1891.1992</v>
      </c>
    </row>
    <row r="3135" spans="1:7" s="745" customFormat="1" ht="15" x14ac:dyDescent="0.25">
      <c r="A3135" s="182"/>
      <c r="B3135" s="182"/>
      <c r="C3135" s="301"/>
      <c r="D3135" s="182"/>
      <c r="E3135" s="302"/>
      <c r="F3135" s="182"/>
      <c r="G3135" s="304"/>
    </row>
    <row r="3136" spans="1:7" s="745" customFormat="1" ht="15" x14ac:dyDescent="0.25">
      <c r="A3136" s="305" t="s">
        <v>130</v>
      </c>
      <c r="B3136" s="182"/>
      <c r="C3136" s="301"/>
      <c r="D3136" s="182"/>
      <c r="E3136" s="302"/>
      <c r="F3136" s="303"/>
      <c r="G3136" s="304"/>
    </row>
    <row r="3137" spans="1:7" s="745" customFormat="1" ht="15" x14ac:dyDescent="0.25">
      <c r="A3137" s="182"/>
      <c r="B3137" s="182"/>
      <c r="C3137" s="301"/>
      <c r="D3137" s="182"/>
      <c r="E3137" s="302"/>
      <c r="F3137" s="303"/>
      <c r="G3137" s="304"/>
    </row>
    <row r="3138" spans="1:7" s="745" customFormat="1" ht="15" x14ac:dyDescent="0.25">
      <c r="A3138" s="1075" t="s">
        <v>116</v>
      </c>
      <c r="B3138" s="1075"/>
      <c r="C3138" s="1075" t="s">
        <v>131</v>
      </c>
      <c r="D3138" s="306" t="s">
        <v>132</v>
      </c>
      <c r="E3138" s="1075" t="s">
        <v>133</v>
      </c>
      <c r="F3138" s="321" t="s">
        <v>126</v>
      </c>
      <c r="G3138" s="307" t="s">
        <v>134</v>
      </c>
    </row>
    <row r="3139" spans="1:7" s="745" customFormat="1" ht="15" x14ac:dyDescent="0.25">
      <c r="A3139" s="182" t="s">
        <v>10</v>
      </c>
      <c r="B3139" s="328"/>
      <c r="C3139" s="329">
        <f>M2*2</f>
        <v>45963.6</v>
      </c>
      <c r="D3139" s="330">
        <f>N2</f>
        <v>1.76</v>
      </c>
      <c r="E3139" s="183">
        <f>D3139*C3139</f>
        <v>80895.936000000002</v>
      </c>
      <c r="F3139" s="331">
        <f>1/4</f>
        <v>0.25</v>
      </c>
      <c r="G3139" s="183">
        <f>F3139*E3139</f>
        <v>20223.984</v>
      </c>
    </row>
    <row r="3140" spans="1:7" s="745" customFormat="1" ht="15" x14ac:dyDescent="0.25">
      <c r="A3140" s="182" t="s">
        <v>140</v>
      </c>
      <c r="B3140" s="328"/>
      <c r="C3140" s="329">
        <f>M3</f>
        <v>40000</v>
      </c>
      <c r="D3140" s="330">
        <f>N3</f>
        <v>1.76</v>
      </c>
      <c r="E3140" s="183">
        <f>D3140*C3140</f>
        <v>70400</v>
      </c>
      <c r="F3140" s="331">
        <f>1/4</f>
        <v>0.25</v>
      </c>
      <c r="G3140" s="183">
        <f>F3140*E3140</f>
        <v>17600</v>
      </c>
    </row>
    <row r="3141" spans="1:7" s="745" customFormat="1" ht="15" x14ac:dyDescent="0.25">
      <c r="A3141" s="182"/>
      <c r="B3141" s="303"/>
      <c r="C3141" s="326"/>
      <c r="D3141" s="318"/>
      <c r="E3141" s="326"/>
      <c r="F3141" s="303"/>
      <c r="G3141" s="326"/>
    </row>
    <row r="3142" spans="1:7" s="745" customFormat="1" ht="15" x14ac:dyDescent="0.25">
      <c r="A3142" s="182"/>
      <c r="B3142" s="303"/>
      <c r="C3142" s="326"/>
      <c r="D3142" s="318"/>
      <c r="E3142" s="326"/>
      <c r="F3142" s="303"/>
      <c r="G3142" s="326"/>
    </row>
    <row r="3143" spans="1:7" s="745" customFormat="1" ht="15" x14ac:dyDescent="0.25">
      <c r="A3143" s="182"/>
      <c r="B3143" s="182"/>
      <c r="C3143" s="301"/>
      <c r="D3143" s="182"/>
      <c r="E3143" s="320"/>
      <c r="F3143" s="320" t="s">
        <v>121</v>
      </c>
      <c r="G3143" s="314">
        <f>+SUM(G3139:G3142)</f>
        <v>37823.983999999997</v>
      </c>
    </row>
    <row r="3144" spans="1:7" s="745" customFormat="1" ht="15" x14ac:dyDescent="0.25">
      <c r="A3144" s="182"/>
      <c r="B3144" s="182"/>
      <c r="C3144" s="301"/>
      <c r="D3144" s="182"/>
      <c r="E3144" s="320"/>
      <c r="F3144" s="320"/>
      <c r="G3144" s="314"/>
    </row>
    <row r="3145" spans="1:7" s="745" customFormat="1" ht="15" x14ac:dyDescent="0.25">
      <c r="A3145" s="305" t="s">
        <v>135</v>
      </c>
      <c r="B3145" s="182"/>
      <c r="C3145" s="301"/>
      <c r="D3145" s="182"/>
      <c r="E3145" s="302"/>
      <c r="F3145" s="303"/>
      <c r="G3145" s="304"/>
    </row>
    <row r="3146" spans="1:7" s="745" customFormat="1" ht="15" x14ac:dyDescent="0.25">
      <c r="A3146" s="182"/>
      <c r="B3146" s="182"/>
      <c r="C3146" s="301"/>
      <c r="D3146" s="182"/>
      <c r="E3146" s="302"/>
      <c r="F3146" s="303"/>
      <c r="G3146" s="304"/>
    </row>
    <row r="3147" spans="1:7" s="745" customFormat="1" ht="15" x14ac:dyDescent="0.25">
      <c r="A3147" s="1075" t="s">
        <v>116</v>
      </c>
      <c r="B3147" s="1075"/>
      <c r="C3147" s="1075" t="s">
        <v>117</v>
      </c>
      <c r="D3147" s="306" t="s">
        <v>136</v>
      </c>
      <c r="E3147" s="1075" t="s">
        <v>124</v>
      </c>
      <c r="F3147" s="321" t="s">
        <v>126</v>
      </c>
      <c r="G3147" s="307" t="s">
        <v>134</v>
      </c>
    </row>
    <row r="3148" spans="1:7" s="745" customFormat="1" ht="15" x14ac:dyDescent="0.25">
      <c r="A3148" s="150" t="s">
        <v>175</v>
      </c>
      <c r="B3148" s="332"/>
      <c r="C3148" s="333" t="s">
        <v>79</v>
      </c>
      <c r="D3148" s="330"/>
      <c r="E3148" s="183">
        <f>20000*1.7*2</f>
        <v>68000</v>
      </c>
      <c r="F3148" s="331">
        <f>1/4</f>
        <v>0.25</v>
      </c>
      <c r="G3148" s="183">
        <f>F3148*E3148</f>
        <v>17000</v>
      </c>
    </row>
    <row r="3149" spans="1:7" s="745" customFormat="1" ht="15" x14ac:dyDescent="0.25">
      <c r="A3149" s="182"/>
      <c r="B3149" s="334"/>
      <c r="C3149" s="329"/>
      <c r="D3149" s="330"/>
      <c r="E3149" s="314"/>
      <c r="F3149" s="323"/>
      <c r="G3149" s="314"/>
    </row>
    <row r="3150" spans="1:7" s="745" customFormat="1" ht="15" x14ac:dyDescent="0.25">
      <c r="A3150" s="182"/>
      <c r="B3150" s="328"/>
      <c r="C3150" s="329"/>
      <c r="D3150" s="330"/>
      <c r="E3150" s="314"/>
      <c r="F3150" s="323"/>
      <c r="G3150" s="314"/>
    </row>
    <row r="3151" spans="1:7" s="745" customFormat="1" ht="15" x14ac:dyDescent="0.25">
      <c r="A3151" s="182"/>
      <c r="B3151" s="328"/>
      <c r="C3151" s="329"/>
      <c r="D3151" s="330"/>
      <c r="E3151" s="314"/>
      <c r="F3151" s="323"/>
      <c r="G3151" s="314"/>
    </row>
    <row r="3152" spans="1:7" s="745" customFormat="1" ht="15" x14ac:dyDescent="0.25">
      <c r="A3152" s="182"/>
      <c r="B3152" s="303"/>
      <c r="C3152" s="326"/>
      <c r="D3152" s="318"/>
      <c r="E3152" s="326"/>
      <c r="F3152" s="303"/>
      <c r="G3152" s="326"/>
    </row>
    <row r="3153" spans="1:7" s="745" customFormat="1" ht="15" x14ac:dyDescent="0.25">
      <c r="A3153" s="182"/>
      <c r="B3153" s="303"/>
      <c r="C3153" s="326"/>
      <c r="D3153" s="318"/>
      <c r="E3153" s="326"/>
      <c r="F3153" s="303"/>
      <c r="G3153" s="326"/>
    </row>
    <row r="3154" spans="1:7" s="745" customFormat="1" ht="15" x14ac:dyDescent="0.25">
      <c r="A3154" s="182"/>
      <c r="B3154" s="182"/>
      <c r="C3154" s="301"/>
      <c r="D3154" s="182"/>
      <c r="E3154" s="320"/>
      <c r="F3154" s="320" t="s">
        <v>121</v>
      </c>
      <c r="G3154" s="314">
        <f>+SUM(G3148:G3153)</f>
        <v>17000</v>
      </c>
    </row>
    <row r="3155" spans="1:7" s="745" customFormat="1" ht="15" x14ac:dyDescent="0.25">
      <c r="A3155" s="182"/>
      <c r="B3155" s="182"/>
      <c r="C3155" s="301"/>
      <c r="D3155" s="182"/>
      <c r="E3155" s="302"/>
      <c r="F3155" s="303"/>
      <c r="G3155" s="303"/>
    </row>
    <row r="3156" spans="1:7" s="745" customFormat="1" ht="15" x14ac:dyDescent="0.25">
      <c r="A3156" s="182"/>
      <c r="B3156" s="182"/>
      <c r="C3156" s="182"/>
      <c r="D3156" s="182"/>
      <c r="E3156" s="301"/>
      <c r="F3156" s="320" t="s">
        <v>137</v>
      </c>
      <c r="G3156" s="283">
        <f>+ROUND(G3124+G3134+G3143+G3154,0)</f>
        <v>620475</v>
      </c>
    </row>
    <row r="3157" spans="1:7" s="1088" customFormat="1" ht="14.25" x14ac:dyDescent="0.2"/>
    <row r="3158" spans="1:7" s="745" customFormat="1" ht="15" x14ac:dyDescent="0.25">
      <c r="A3158" s="298" t="s">
        <v>114</v>
      </c>
      <c r="B3158" s="1274" t="s">
        <v>1</v>
      </c>
      <c r="C3158" s="1275"/>
      <c r="D3158" s="1275"/>
      <c r="E3158" s="1275"/>
      <c r="F3158" s="1276"/>
      <c r="G3158" s="299" t="s">
        <v>2</v>
      </c>
    </row>
    <row r="3159" spans="1:7" s="745" customFormat="1" ht="15" x14ac:dyDescent="0.25">
      <c r="A3159" s="1051">
        <f>'FORMATO PROPUESTA ECONÓMICA'!A91</f>
        <v>8.1300000000000008</v>
      </c>
      <c r="B3159" s="1277" t="str">
        <f>'FORMATO PROPUESTA ECONÓMICA'!B91</f>
        <v>Válvula de compuerta elástica vástago no ascendente bridada d = 4"</v>
      </c>
      <c r="C3159" s="1278"/>
      <c r="D3159" s="1278"/>
      <c r="E3159" s="1278"/>
      <c r="F3159" s="1279"/>
      <c r="G3159" s="300" t="str">
        <f>'FORMATO PROPUESTA ECONÓMICA'!C91</f>
        <v>und</v>
      </c>
    </row>
    <row r="3160" spans="1:7" s="745" customFormat="1" ht="15" x14ac:dyDescent="0.25">
      <c r="A3160" s="182"/>
      <c r="B3160" s="1079"/>
      <c r="C3160" s="301"/>
      <c r="D3160" s="182"/>
      <c r="E3160" s="302"/>
      <c r="F3160" s="303"/>
      <c r="G3160" s="304"/>
    </row>
    <row r="3161" spans="1:7" s="745" customFormat="1" ht="15" x14ac:dyDescent="0.25">
      <c r="A3161" s="305" t="s">
        <v>115</v>
      </c>
      <c r="B3161" s="182"/>
      <c r="C3161" s="301"/>
      <c r="D3161" s="182"/>
      <c r="E3161" s="302"/>
      <c r="F3161" s="303"/>
      <c r="G3161" s="304"/>
    </row>
    <row r="3162" spans="1:7" s="745" customFormat="1" ht="15" x14ac:dyDescent="0.25">
      <c r="A3162" s="182"/>
      <c r="B3162" s="182"/>
      <c r="C3162" s="301"/>
      <c r="D3162" s="182"/>
      <c r="E3162" s="302"/>
      <c r="F3162" s="303"/>
      <c r="G3162" s="304"/>
    </row>
    <row r="3163" spans="1:7" s="745" customFormat="1" ht="15" x14ac:dyDescent="0.25">
      <c r="A3163" s="1268" t="s">
        <v>116</v>
      </c>
      <c r="B3163" s="1268"/>
      <c r="C3163" s="306" t="s">
        <v>117</v>
      </c>
      <c r="D3163" s="1075" t="s">
        <v>118</v>
      </c>
      <c r="E3163" s="218" t="s">
        <v>39</v>
      </c>
      <c r="F3163" s="1075" t="s">
        <v>119</v>
      </c>
      <c r="G3163" s="307" t="s">
        <v>120</v>
      </c>
    </row>
    <row r="3164" spans="1:7" s="745" customFormat="1" ht="15" customHeight="1" x14ac:dyDescent="0.25">
      <c r="A3164" s="1269" t="str">
        <f>B3159</f>
        <v>Válvula de compuerta elástica vástago no ascendente bridada d = 4"</v>
      </c>
      <c r="B3164" s="1269"/>
      <c r="C3164" s="308" t="s">
        <v>79</v>
      </c>
      <c r="D3164" s="335">
        <v>842160</v>
      </c>
      <c r="E3164" s="310">
        <v>1</v>
      </c>
      <c r="F3164" s="311">
        <v>0</v>
      </c>
      <c r="G3164" s="312">
        <f>D3164*(E3164+F3164)</f>
        <v>842160</v>
      </c>
    </row>
    <row r="3165" spans="1:7" s="745" customFormat="1" ht="15" x14ac:dyDescent="0.25">
      <c r="A3165" s="1261"/>
      <c r="B3165" s="1261"/>
      <c r="C3165" s="313"/>
      <c r="D3165" s="314"/>
      <c r="E3165" s="315"/>
      <c r="F3165" s="316"/>
      <c r="G3165" s="317">
        <f>D3165*E3165</f>
        <v>0</v>
      </c>
    </row>
    <row r="3166" spans="1:7" s="745" customFormat="1" ht="15" x14ac:dyDescent="0.25">
      <c r="A3166" s="1261"/>
      <c r="B3166" s="1261"/>
      <c r="C3166" s="318"/>
      <c r="D3166" s="314"/>
      <c r="E3166" s="315"/>
      <c r="F3166" s="316"/>
      <c r="G3166" s="317">
        <f>D3166*E3166</f>
        <v>0</v>
      </c>
    </row>
    <row r="3167" spans="1:7" s="745" customFormat="1" ht="15" x14ac:dyDescent="0.25">
      <c r="A3167" s="1261"/>
      <c r="B3167" s="1261"/>
      <c r="C3167" s="313"/>
      <c r="D3167" s="314"/>
      <c r="E3167" s="315"/>
      <c r="F3167" s="316"/>
      <c r="G3167" s="317">
        <f>D3167*E3167</f>
        <v>0</v>
      </c>
    </row>
    <row r="3168" spans="1:7" s="745" customFormat="1" ht="15" x14ac:dyDescent="0.25">
      <c r="A3168" s="1063"/>
      <c r="B3168" s="1063"/>
      <c r="C3168" s="318"/>
      <c r="D3168" s="314"/>
      <c r="E3168" s="315"/>
      <c r="F3168" s="319"/>
      <c r="G3168" s="317">
        <f>D3168*E3168</f>
        <v>0</v>
      </c>
    </row>
    <row r="3169" spans="1:7" s="745" customFormat="1" ht="15" customHeight="1" x14ac:dyDescent="0.25">
      <c r="A3169" s="1079"/>
      <c r="B3169" s="1079"/>
      <c r="C3169" s="301"/>
      <c r="D3169" s="182"/>
      <c r="E3169" s="182"/>
      <c r="F3169" s="320" t="s">
        <v>121</v>
      </c>
      <c r="G3169" s="314">
        <f>+SUM(G3164:G3168)</f>
        <v>842160</v>
      </c>
    </row>
    <row r="3170" spans="1:7" s="745" customFormat="1" ht="15" x14ac:dyDescent="0.25">
      <c r="A3170" s="182"/>
      <c r="B3170" s="182"/>
      <c r="C3170" s="301" t="s">
        <v>123</v>
      </c>
      <c r="D3170" s="182"/>
      <c r="E3170" s="302"/>
      <c r="F3170" s="303"/>
      <c r="G3170" s="304"/>
    </row>
    <row r="3171" spans="1:7" s="745" customFormat="1" ht="15" x14ac:dyDescent="0.25">
      <c r="A3171" s="305" t="s">
        <v>122</v>
      </c>
      <c r="B3171" s="182"/>
      <c r="C3171" s="301" t="s">
        <v>123</v>
      </c>
      <c r="D3171" s="182"/>
      <c r="E3171" s="302"/>
      <c r="F3171" s="303"/>
      <c r="G3171" s="304"/>
    </row>
    <row r="3172" spans="1:7" s="745" customFormat="1" ht="15" x14ac:dyDescent="0.25">
      <c r="A3172" s="182"/>
      <c r="B3172" s="182"/>
      <c r="C3172" s="301"/>
      <c r="D3172" s="182"/>
      <c r="E3172" s="302"/>
      <c r="F3172" s="303"/>
      <c r="G3172" s="304"/>
    </row>
    <row r="3173" spans="1:7" s="745" customFormat="1" ht="15" x14ac:dyDescent="0.25">
      <c r="A3173" s="1075" t="s">
        <v>116</v>
      </c>
      <c r="B3173" s="1075"/>
      <c r="C3173" s="306" t="s">
        <v>117</v>
      </c>
      <c r="D3173" s="1075" t="s">
        <v>124</v>
      </c>
      <c r="E3173" s="1075" t="s">
        <v>125</v>
      </c>
      <c r="F3173" s="321" t="s">
        <v>126</v>
      </c>
      <c r="G3173" s="307" t="s">
        <v>120</v>
      </c>
    </row>
    <row r="3174" spans="1:7" s="745" customFormat="1" ht="29.25" x14ac:dyDescent="0.25">
      <c r="A3174" s="1063" t="s">
        <v>127</v>
      </c>
      <c r="B3174" s="1063"/>
      <c r="C3174" s="318" t="s">
        <v>128</v>
      </c>
      <c r="D3174" s="312"/>
      <c r="E3174" s="322"/>
      <c r="F3174" s="323"/>
      <c r="G3174" s="324">
        <f>G3188*0.05</f>
        <v>1891.1992</v>
      </c>
    </row>
    <row r="3175" spans="1:7" s="745" customFormat="1" ht="15" x14ac:dyDescent="0.25">
      <c r="A3175" s="1079"/>
      <c r="B3175" s="1079"/>
      <c r="C3175" s="313"/>
      <c r="D3175" s="314"/>
      <c r="E3175" s="325"/>
      <c r="F3175" s="323"/>
      <c r="G3175" s="314"/>
    </row>
    <row r="3176" spans="1:7" s="745" customFormat="1" ht="15" x14ac:dyDescent="0.25">
      <c r="A3176" s="1079"/>
      <c r="B3176" s="1079"/>
      <c r="C3176" s="313"/>
      <c r="D3176" s="314"/>
      <c r="E3176" s="325"/>
      <c r="F3176" s="323"/>
      <c r="G3176" s="314"/>
    </row>
    <row r="3177" spans="1:7" s="745" customFormat="1" ht="15" x14ac:dyDescent="0.25">
      <c r="A3177" s="182"/>
      <c r="B3177" s="303"/>
      <c r="C3177" s="318"/>
      <c r="D3177" s="314"/>
      <c r="E3177" s="325"/>
      <c r="F3177" s="323"/>
      <c r="G3177" s="258"/>
    </row>
    <row r="3178" spans="1:7" s="745" customFormat="1" ht="15" x14ac:dyDescent="0.25">
      <c r="A3178" s="182"/>
      <c r="B3178" s="303"/>
      <c r="C3178" s="318"/>
      <c r="D3178" s="326"/>
      <c r="E3178" s="325"/>
      <c r="F3178" s="303"/>
      <c r="G3178" s="327"/>
    </row>
    <row r="3179" spans="1:7" s="745" customFormat="1" ht="15" x14ac:dyDescent="0.25">
      <c r="A3179" s="182"/>
      <c r="B3179" s="303"/>
      <c r="C3179" s="318"/>
      <c r="D3179" s="303"/>
      <c r="E3179" s="182"/>
      <c r="F3179" s="320" t="s">
        <v>121</v>
      </c>
      <c r="G3179" s="258">
        <f>+SUM(G3174:G3178)</f>
        <v>1891.1992</v>
      </c>
    </row>
    <row r="3180" spans="1:7" s="745" customFormat="1" ht="15" x14ac:dyDescent="0.25">
      <c r="A3180" s="182"/>
      <c r="B3180" s="182"/>
      <c r="C3180" s="301"/>
      <c r="D3180" s="182"/>
      <c r="E3180" s="302"/>
      <c r="F3180" s="182"/>
      <c r="G3180" s="304"/>
    </row>
    <row r="3181" spans="1:7" s="745" customFormat="1" ht="15" x14ac:dyDescent="0.25">
      <c r="A3181" s="305" t="s">
        <v>130</v>
      </c>
      <c r="B3181" s="182"/>
      <c r="C3181" s="301"/>
      <c r="D3181" s="182"/>
      <c r="E3181" s="302"/>
      <c r="F3181" s="303"/>
      <c r="G3181" s="304"/>
    </row>
    <row r="3182" spans="1:7" s="745" customFormat="1" ht="15" x14ac:dyDescent="0.25">
      <c r="A3182" s="182"/>
      <c r="B3182" s="182"/>
      <c r="C3182" s="301"/>
      <c r="D3182" s="182"/>
      <c r="E3182" s="302"/>
      <c r="F3182" s="303"/>
      <c r="G3182" s="304"/>
    </row>
    <row r="3183" spans="1:7" s="745" customFormat="1" ht="15" x14ac:dyDescent="0.25">
      <c r="A3183" s="1075" t="s">
        <v>116</v>
      </c>
      <c r="B3183" s="1075"/>
      <c r="C3183" s="1075" t="s">
        <v>131</v>
      </c>
      <c r="D3183" s="306" t="s">
        <v>132</v>
      </c>
      <c r="E3183" s="1075" t="s">
        <v>133</v>
      </c>
      <c r="F3183" s="321" t="s">
        <v>126</v>
      </c>
      <c r="G3183" s="307" t="s">
        <v>134</v>
      </c>
    </row>
    <row r="3184" spans="1:7" s="745" customFormat="1" ht="15" x14ac:dyDescent="0.25">
      <c r="A3184" s="182" t="s">
        <v>10</v>
      </c>
      <c r="B3184" s="328"/>
      <c r="C3184" s="329">
        <f>M2*2</f>
        <v>45963.6</v>
      </c>
      <c r="D3184" s="330">
        <f>N2</f>
        <v>1.76</v>
      </c>
      <c r="E3184" s="183">
        <f>D3184*C3184</f>
        <v>80895.936000000002</v>
      </c>
      <c r="F3184" s="331">
        <f>1/4</f>
        <v>0.25</v>
      </c>
      <c r="G3184" s="183">
        <f>F3184*E3184</f>
        <v>20223.984</v>
      </c>
    </row>
    <row r="3185" spans="1:7" s="745" customFormat="1" ht="15" x14ac:dyDescent="0.25">
      <c r="A3185" s="182" t="s">
        <v>140</v>
      </c>
      <c r="B3185" s="328"/>
      <c r="C3185" s="329">
        <f>M3</f>
        <v>40000</v>
      </c>
      <c r="D3185" s="330">
        <f>N3</f>
        <v>1.76</v>
      </c>
      <c r="E3185" s="183">
        <f>D3185*C3185</f>
        <v>70400</v>
      </c>
      <c r="F3185" s="331">
        <f>1/4</f>
        <v>0.25</v>
      </c>
      <c r="G3185" s="183">
        <f>F3185*E3185</f>
        <v>17600</v>
      </c>
    </row>
    <row r="3186" spans="1:7" s="745" customFormat="1" ht="15" x14ac:dyDescent="0.25">
      <c r="A3186" s="182"/>
      <c r="B3186" s="303"/>
      <c r="C3186" s="326"/>
      <c r="D3186" s="318"/>
      <c r="E3186" s="326"/>
      <c r="F3186" s="303"/>
      <c r="G3186" s="326"/>
    </row>
    <row r="3187" spans="1:7" s="745" customFormat="1" ht="15" x14ac:dyDescent="0.25">
      <c r="A3187" s="182"/>
      <c r="B3187" s="303"/>
      <c r="C3187" s="326"/>
      <c r="D3187" s="318"/>
      <c r="E3187" s="326"/>
      <c r="F3187" s="303"/>
      <c r="G3187" s="326"/>
    </row>
    <row r="3188" spans="1:7" s="745" customFormat="1" ht="15" x14ac:dyDescent="0.25">
      <c r="A3188" s="182"/>
      <c r="B3188" s="182"/>
      <c r="C3188" s="301"/>
      <c r="D3188" s="182"/>
      <c r="E3188" s="320"/>
      <c r="F3188" s="320" t="s">
        <v>121</v>
      </c>
      <c r="G3188" s="314">
        <f>+SUM(G3184:G3187)</f>
        <v>37823.983999999997</v>
      </c>
    </row>
    <row r="3189" spans="1:7" s="745" customFormat="1" ht="15" x14ac:dyDescent="0.25">
      <c r="A3189" s="182"/>
      <c r="B3189" s="182"/>
      <c r="C3189" s="301"/>
      <c r="D3189" s="182"/>
      <c r="E3189" s="320"/>
      <c r="F3189" s="320"/>
      <c r="G3189" s="314"/>
    </row>
    <row r="3190" spans="1:7" s="745" customFormat="1" ht="15" x14ac:dyDescent="0.25">
      <c r="A3190" s="305" t="s">
        <v>135</v>
      </c>
      <c r="B3190" s="182"/>
      <c r="C3190" s="301"/>
      <c r="D3190" s="182"/>
      <c r="E3190" s="302"/>
      <c r="F3190" s="303"/>
      <c r="G3190" s="304"/>
    </row>
    <row r="3191" spans="1:7" s="745" customFormat="1" ht="15" x14ac:dyDescent="0.25">
      <c r="A3191" s="182"/>
      <c r="B3191" s="182"/>
      <c r="C3191" s="301"/>
      <c r="D3191" s="182"/>
      <c r="E3191" s="302"/>
      <c r="F3191" s="303"/>
      <c r="G3191" s="304"/>
    </row>
    <row r="3192" spans="1:7" s="745" customFormat="1" ht="15" x14ac:dyDescent="0.25">
      <c r="A3192" s="1075" t="s">
        <v>116</v>
      </c>
      <c r="B3192" s="1075"/>
      <c r="C3192" s="1075" t="s">
        <v>117</v>
      </c>
      <c r="D3192" s="306" t="s">
        <v>136</v>
      </c>
      <c r="E3192" s="1075" t="s">
        <v>124</v>
      </c>
      <c r="F3192" s="321" t="s">
        <v>126</v>
      </c>
      <c r="G3192" s="307" t="s">
        <v>134</v>
      </c>
    </row>
    <row r="3193" spans="1:7" s="745" customFormat="1" ht="15" x14ac:dyDescent="0.25">
      <c r="A3193" s="150" t="s">
        <v>175</v>
      </c>
      <c r="B3193" s="332"/>
      <c r="C3193" s="333" t="s">
        <v>79</v>
      </c>
      <c r="D3193" s="330"/>
      <c r="E3193" s="183">
        <f>20000*1.7*2</f>
        <v>68000</v>
      </c>
      <c r="F3193" s="331">
        <f>1/4</f>
        <v>0.25</v>
      </c>
      <c r="G3193" s="183">
        <f>F3193*E3193</f>
        <v>17000</v>
      </c>
    </row>
    <row r="3194" spans="1:7" s="745" customFormat="1" ht="15" x14ac:dyDescent="0.25">
      <c r="A3194" s="182"/>
      <c r="B3194" s="334"/>
      <c r="C3194" s="329"/>
      <c r="D3194" s="330"/>
      <c r="E3194" s="314"/>
      <c r="F3194" s="323"/>
      <c r="G3194" s="314"/>
    </row>
    <row r="3195" spans="1:7" s="745" customFormat="1" ht="15" x14ac:dyDescent="0.25">
      <c r="A3195" s="182"/>
      <c r="B3195" s="328"/>
      <c r="C3195" s="329"/>
      <c r="D3195" s="330"/>
      <c r="E3195" s="314"/>
      <c r="F3195" s="323"/>
      <c r="G3195" s="314"/>
    </row>
    <row r="3196" spans="1:7" s="745" customFormat="1" ht="15" x14ac:dyDescent="0.25">
      <c r="A3196" s="182"/>
      <c r="B3196" s="328"/>
      <c r="C3196" s="329"/>
      <c r="D3196" s="330"/>
      <c r="E3196" s="314"/>
      <c r="F3196" s="323"/>
      <c r="G3196" s="314"/>
    </row>
    <row r="3197" spans="1:7" s="745" customFormat="1" ht="15" x14ac:dyDescent="0.25">
      <c r="A3197" s="182"/>
      <c r="B3197" s="303"/>
      <c r="C3197" s="326"/>
      <c r="D3197" s="318"/>
      <c r="E3197" s="326"/>
      <c r="F3197" s="303"/>
      <c r="G3197" s="326"/>
    </row>
    <row r="3198" spans="1:7" s="745" customFormat="1" ht="15" x14ac:dyDescent="0.25">
      <c r="A3198" s="182"/>
      <c r="B3198" s="303"/>
      <c r="C3198" s="326"/>
      <c r="D3198" s="318"/>
      <c r="E3198" s="326"/>
      <c r="F3198" s="303"/>
      <c r="G3198" s="326"/>
    </row>
    <row r="3199" spans="1:7" s="745" customFormat="1" ht="15" x14ac:dyDescent="0.25">
      <c r="A3199" s="182"/>
      <c r="B3199" s="182"/>
      <c r="C3199" s="301"/>
      <c r="D3199" s="182"/>
      <c r="E3199" s="320"/>
      <c r="F3199" s="320" t="s">
        <v>121</v>
      </c>
      <c r="G3199" s="314">
        <f>+SUM(G3193:G3198)</f>
        <v>17000</v>
      </c>
    </row>
    <row r="3200" spans="1:7" s="745" customFormat="1" ht="15" x14ac:dyDescent="0.25">
      <c r="A3200" s="182"/>
      <c r="B3200" s="182"/>
      <c r="C3200" s="301"/>
      <c r="D3200" s="182"/>
      <c r="E3200" s="302"/>
      <c r="F3200" s="303"/>
      <c r="G3200" s="314"/>
    </row>
    <row r="3201" spans="1:7" s="745" customFormat="1" ht="15" x14ac:dyDescent="0.25">
      <c r="A3201" s="182"/>
      <c r="B3201" s="182"/>
      <c r="C3201" s="182"/>
      <c r="D3201" s="182"/>
      <c r="E3201" s="301"/>
      <c r="F3201" s="320" t="s">
        <v>137</v>
      </c>
      <c r="G3201" s="283">
        <f>+ROUND(G3169+G3179+G3188+G3199,0)</f>
        <v>898875</v>
      </c>
    </row>
    <row r="3202" spans="1:7" s="1088" customFormat="1" ht="14.25" x14ac:dyDescent="0.2"/>
    <row r="3203" spans="1:7" s="745" customFormat="1" ht="15" x14ac:dyDescent="0.25">
      <c r="A3203" s="298" t="s">
        <v>114</v>
      </c>
      <c r="B3203" s="1274" t="s">
        <v>1</v>
      </c>
      <c r="C3203" s="1275"/>
      <c r="D3203" s="1275"/>
      <c r="E3203" s="1275"/>
      <c r="F3203" s="1276"/>
      <c r="G3203" s="299" t="s">
        <v>2</v>
      </c>
    </row>
    <row r="3204" spans="1:7" s="745" customFormat="1" ht="15" x14ac:dyDescent="0.25">
      <c r="A3204" s="1051">
        <f>'FORMATO PROPUESTA ECONÓMICA'!A92</f>
        <v>8.14</v>
      </c>
      <c r="B3204" s="1277" t="str">
        <f>'FORMATO PROPUESTA ECONÓMICA'!B92</f>
        <v>Válvula de compuerta elástica vástago no ascendente bridada d = 6"</v>
      </c>
      <c r="C3204" s="1278"/>
      <c r="D3204" s="1278"/>
      <c r="E3204" s="1278"/>
      <c r="F3204" s="1279"/>
      <c r="G3204" s="300" t="str">
        <f>'FORMATO PROPUESTA ECONÓMICA'!C92</f>
        <v>und</v>
      </c>
    </row>
    <row r="3205" spans="1:7" s="745" customFormat="1" ht="15" x14ac:dyDescent="0.25">
      <c r="A3205" s="182"/>
      <c r="B3205" s="1079"/>
      <c r="C3205" s="301"/>
      <c r="D3205" s="182"/>
      <c r="E3205" s="302"/>
      <c r="F3205" s="303"/>
      <c r="G3205" s="304"/>
    </row>
    <row r="3206" spans="1:7" s="745" customFormat="1" ht="15" x14ac:dyDescent="0.25">
      <c r="A3206" s="305" t="s">
        <v>115</v>
      </c>
      <c r="B3206" s="182"/>
      <c r="C3206" s="301"/>
      <c r="D3206" s="182"/>
      <c r="E3206" s="302"/>
      <c r="F3206" s="303"/>
      <c r="G3206" s="304"/>
    </row>
    <row r="3207" spans="1:7" s="745" customFormat="1" ht="15" x14ac:dyDescent="0.25">
      <c r="A3207" s="182"/>
      <c r="B3207" s="182"/>
      <c r="C3207" s="301"/>
      <c r="D3207" s="182"/>
      <c r="E3207" s="302"/>
      <c r="F3207" s="303"/>
      <c r="G3207" s="304"/>
    </row>
    <row r="3208" spans="1:7" s="745" customFormat="1" ht="15" x14ac:dyDescent="0.25">
      <c r="A3208" s="1268" t="s">
        <v>116</v>
      </c>
      <c r="B3208" s="1268"/>
      <c r="C3208" s="306" t="s">
        <v>117</v>
      </c>
      <c r="D3208" s="1075" t="s">
        <v>118</v>
      </c>
      <c r="E3208" s="218" t="s">
        <v>39</v>
      </c>
      <c r="F3208" s="1075" t="s">
        <v>119</v>
      </c>
      <c r="G3208" s="307" t="s">
        <v>120</v>
      </c>
    </row>
    <row r="3209" spans="1:7" s="745" customFormat="1" ht="15" customHeight="1" x14ac:dyDescent="0.25">
      <c r="A3209" s="1269" t="str">
        <f>B3204</f>
        <v>Válvula de compuerta elástica vástago no ascendente bridada d = 6"</v>
      </c>
      <c r="B3209" s="1269"/>
      <c r="C3209" s="308" t="s">
        <v>79</v>
      </c>
      <c r="D3209" s="335">
        <v>1336320</v>
      </c>
      <c r="E3209" s="310">
        <v>1</v>
      </c>
      <c r="F3209" s="311">
        <v>0</v>
      </c>
      <c r="G3209" s="312">
        <f>D3209*(E3209+F3209)</f>
        <v>1336320</v>
      </c>
    </row>
    <row r="3210" spans="1:7" s="745" customFormat="1" ht="15" x14ac:dyDescent="0.25">
      <c r="A3210" s="1261"/>
      <c r="B3210" s="1261"/>
      <c r="C3210" s="313"/>
      <c r="D3210" s="314"/>
      <c r="E3210" s="315"/>
      <c r="F3210" s="316"/>
      <c r="G3210" s="317">
        <f>D3210*E3210</f>
        <v>0</v>
      </c>
    </row>
    <row r="3211" spans="1:7" s="745" customFormat="1" ht="15" x14ac:dyDescent="0.25">
      <c r="A3211" s="1261"/>
      <c r="B3211" s="1261"/>
      <c r="C3211" s="318"/>
      <c r="D3211" s="314"/>
      <c r="E3211" s="315"/>
      <c r="F3211" s="316"/>
      <c r="G3211" s="317">
        <f>D3211*E3211</f>
        <v>0</v>
      </c>
    </row>
    <row r="3212" spans="1:7" s="745" customFormat="1" ht="15" x14ac:dyDescent="0.25">
      <c r="A3212" s="1261"/>
      <c r="B3212" s="1261"/>
      <c r="C3212" s="313"/>
      <c r="D3212" s="314"/>
      <c r="E3212" s="315"/>
      <c r="F3212" s="316"/>
      <c r="G3212" s="317">
        <f>D3212*E3212</f>
        <v>0</v>
      </c>
    </row>
    <row r="3213" spans="1:7" s="745" customFormat="1" ht="15" x14ac:dyDescent="0.25">
      <c r="A3213" s="1063"/>
      <c r="B3213" s="1063"/>
      <c r="C3213" s="318"/>
      <c r="D3213" s="314"/>
      <c r="E3213" s="315"/>
      <c r="F3213" s="319"/>
      <c r="G3213" s="317">
        <f>D3213*E3213</f>
        <v>0</v>
      </c>
    </row>
    <row r="3214" spans="1:7" s="745" customFormat="1" ht="15" customHeight="1" x14ac:dyDescent="0.25">
      <c r="A3214" s="1079"/>
      <c r="B3214" s="1079"/>
      <c r="C3214" s="301"/>
      <c r="D3214" s="182"/>
      <c r="E3214" s="182"/>
      <c r="F3214" s="320" t="s">
        <v>121</v>
      </c>
      <c r="G3214" s="314">
        <f>+SUM(G3209:G3213)</f>
        <v>1336320</v>
      </c>
    </row>
    <row r="3215" spans="1:7" s="745" customFormat="1" ht="15" x14ac:dyDescent="0.25">
      <c r="A3215" s="182"/>
      <c r="B3215" s="182"/>
      <c r="C3215" s="301" t="s">
        <v>123</v>
      </c>
      <c r="D3215" s="182"/>
      <c r="E3215" s="302"/>
      <c r="F3215" s="303"/>
      <c r="G3215" s="304"/>
    </row>
    <row r="3216" spans="1:7" s="745" customFormat="1" ht="15" x14ac:dyDescent="0.25">
      <c r="A3216" s="305" t="s">
        <v>122</v>
      </c>
      <c r="B3216" s="182"/>
      <c r="C3216" s="301" t="s">
        <v>123</v>
      </c>
      <c r="D3216" s="182"/>
      <c r="E3216" s="302"/>
      <c r="F3216" s="303"/>
      <c r="G3216" s="304"/>
    </row>
    <row r="3217" spans="1:7" s="745" customFormat="1" ht="15" x14ac:dyDescent="0.25">
      <c r="A3217" s="182"/>
      <c r="B3217" s="182"/>
      <c r="C3217" s="301"/>
      <c r="D3217" s="182"/>
      <c r="E3217" s="302"/>
      <c r="F3217" s="303"/>
      <c r="G3217" s="304"/>
    </row>
    <row r="3218" spans="1:7" s="745" customFormat="1" ht="15" x14ac:dyDescent="0.25">
      <c r="A3218" s="1075" t="s">
        <v>116</v>
      </c>
      <c r="B3218" s="1075"/>
      <c r="C3218" s="306" t="s">
        <v>117</v>
      </c>
      <c r="D3218" s="1075" t="s">
        <v>124</v>
      </c>
      <c r="E3218" s="1075" t="s">
        <v>125</v>
      </c>
      <c r="F3218" s="321" t="s">
        <v>126</v>
      </c>
      <c r="G3218" s="307" t="s">
        <v>120</v>
      </c>
    </row>
    <row r="3219" spans="1:7" s="745" customFormat="1" ht="29.25" x14ac:dyDescent="0.25">
      <c r="A3219" s="1063" t="s">
        <v>127</v>
      </c>
      <c r="B3219" s="1063"/>
      <c r="C3219" s="318" t="s">
        <v>128</v>
      </c>
      <c r="D3219" s="312"/>
      <c r="E3219" s="322"/>
      <c r="F3219" s="323"/>
      <c r="G3219" s="324">
        <f>G3233*0.05</f>
        <v>2521.5989333333332</v>
      </c>
    </row>
    <row r="3220" spans="1:7" s="745" customFormat="1" ht="15" x14ac:dyDescent="0.25">
      <c r="A3220" s="1079"/>
      <c r="B3220" s="1079"/>
      <c r="C3220" s="313"/>
      <c r="D3220" s="314"/>
      <c r="E3220" s="325"/>
      <c r="F3220" s="323"/>
      <c r="G3220" s="314"/>
    </row>
    <row r="3221" spans="1:7" s="745" customFormat="1" ht="15" x14ac:dyDescent="0.25">
      <c r="A3221" s="1079"/>
      <c r="B3221" s="1079"/>
      <c r="C3221" s="313"/>
      <c r="D3221" s="314"/>
      <c r="E3221" s="325"/>
      <c r="F3221" s="323"/>
      <c r="G3221" s="314"/>
    </row>
    <row r="3222" spans="1:7" s="745" customFormat="1" ht="15" x14ac:dyDescent="0.25">
      <c r="A3222" s="182"/>
      <c r="B3222" s="303"/>
      <c r="C3222" s="318"/>
      <c r="D3222" s="314"/>
      <c r="E3222" s="325"/>
      <c r="F3222" s="323"/>
      <c r="G3222" s="258"/>
    </row>
    <row r="3223" spans="1:7" s="745" customFormat="1" ht="15" x14ac:dyDescent="0.25">
      <c r="A3223" s="182"/>
      <c r="B3223" s="303"/>
      <c r="C3223" s="318"/>
      <c r="D3223" s="326"/>
      <c r="E3223" s="325"/>
      <c r="F3223" s="303"/>
      <c r="G3223" s="327"/>
    </row>
    <row r="3224" spans="1:7" s="745" customFormat="1" ht="15" x14ac:dyDescent="0.25">
      <c r="A3224" s="182"/>
      <c r="B3224" s="303"/>
      <c r="C3224" s="318"/>
      <c r="D3224" s="303"/>
      <c r="E3224" s="182"/>
      <c r="F3224" s="320" t="s">
        <v>121</v>
      </c>
      <c r="G3224" s="258">
        <f>+SUM(G3219:G3223)</f>
        <v>2521.5989333333332</v>
      </c>
    </row>
    <row r="3225" spans="1:7" s="745" customFormat="1" ht="15" x14ac:dyDescent="0.25">
      <c r="A3225" s="182"/>
      <c r="B3225" s="182"/>
      <c r="C3225" s="301"/>
      <c r="D3225" s="182"/>
      <c r="E3225" s="302"/>
      <c r="F3225" s="182"/>
      <c r="G3225" s="304"/>
    </row>
    <row r="3226" spans="1:7" s="745" customFormat="1" ht="15" x14ac:dyDescent="0.25">
      <c r="A3226" s="305" t="s">
        <v>130</v>
      </c>
      <c r="B3226" s="182"/>
      <c r="C3226" s="301"/>
      <c r="D3226" s="182"/>
      <c r="E3226" s="302"/>
      <c r="F3226" s="303"/>
      <c r="G3226" s="304"/>
    </row>
    <row r="3227" spans="1:7" s="745" customFormat="1" ht="15" x14ac:dyDescent="0.25">
      <c r="A3227" s="182"/>
      <c r="B3227" s="182"/>
      <c r="C3227" s="301"/>
      <c r="D3227" s="182"/>
      <c r="E3227" s="302"/>
      <c r="F3227" s="303"/>
      <c r="G3227" s="304"/>
    </row>
    <row r="3228" spans="1:7" s="745" customFormat="1" ht="15" x14ac:dyDescent="0.25">
      <c r="A3228" s="1075" t="s">
        <v>116</v>
      </c>
      <c r="B3228" s="1075"/>
      <c r="C3228" s="1075" t="s">
        <v>131</v>
      </c>
      <c r="D3228" s="306" t="s">
        <v>132</v>
      </c>
      <c r="E3228" s="1075" t="s">
        <v>133</v>
      </c>
      <c r="F3228" s="321" t="s">
        <v>126</v>
      </c>
      <c r="G3228" s="307" t="s">
        <v>134</v>
      </c>
    </row>
    <row r="3229" spans="1:7" s="745" customFormat="1" ht="15" x14ac:dyDescent="0.25">
      <c r="A3229" s="182" t="s">
        <v>10</v>
      </c>
      <c r="B3229" s="328"/>
      <c r="C3229" s="329">
        <f>M2*2</f>
        <v>45963.6</v>
      </c>
      <c r="D3229" s="330">
        <f>N2</f>
        <v>1.76</v>
      </c>
      <c r="E3229" s="183">
        <f>D3229*C3229</f>
        <v>80895.936000000002</v>
      </c>
      <c r="F3229" s="331">
        <f>1/3</f>
        <v>0.33333333333333331</v>
      </c>
      <c r="G3229" s="183">
        <f>F3229*E3229</f>
        <v>26965.311999999998</v>
      </c>
    </row>
    <row r="3230" spans="1:7" s="745" customFormat="1" ht="15" x14ac:dyDescent="0.25">
      <c r="A3230" s="182" t="s">
        <v>140</v>
      </c>
      <c r="B3230" s="328"/>
      <c r="C3230" s="329">
        <f>M3</f>
        <v>40000</v>
      </c>
      <c r="D3230" s="330">
        <f>N3</f>
        <v>1.76</v>
      </c>
      <c r="E3230" s="183">
        <f>D3230*C3230</f>
        <v>70400</v>
      </c>
      <c r="F3230" s="331">
        <f>1/3</f>
        <v>0.33333333333333331</v>
      </c>
      <c r="G3230" s="183">
        <f>F3230*E3230</f>
        <v>23466.666666666664</v>
      </c>
    </row>
    <row r="3231" spans="1:7" s="745" customFormat="1" ht="15" x14ac:dyDescent="0.25">
      <c r="A3231" s="182"/>
      <c r="B3231" s="303"/>
      <c r="C3231" s="326"/>
      <c r="D3231" s="318"/>
      <c r="E3231" s="326"/>
      <c r="F3231" s="303"/>
      <c r="G3231" s="326"/>
    </row>
    <row r="3232" spans="1:7" s="745" customFormat="1" ht="15" x14ac:dyDescent="0.25">
      <c r="A3232" s="182"/>
      <c r="B3232" s="303"/>
      <c r="C3232" s="326"/>
      <c r="D3232" s="318"/>
      <c r="E3232" s="326"/>
      <c r="F3232" s="303"/>
      <c r="G3232" s="326"/>
    </row>
    <row r="3233" spans="1:7" s="745" customFormat="1" ht="15" x14ac:dyDescent="0.25">
      <c r="A3233" s="182"/>
      <c r="B3233" s="182"/>
      <c r="C3233" s="301"/>
      <c r="D3233" s="182"/>
      <c r="E3233" s="320"/>
      <c r="F3233" s="320" t="s">
        <v>121</v>
      </c>
      <c r="G3233" s="314">
        <f>+SUM(G3229:G3232)</f>
        <v>50431.978666666662</v>
      </c>
    </row>
    <row r="3234" spans="1:7" s="745" customFormat="1" ht="15" x14ac:dyDescent="0.25">
      <c r="A3234" s="182"/>
      <c r="B3234" s="182"/>
      <c r="C3234" s="301"/>
      <c r="D3234" s="182"/>
      <c r="E3234" s="320"/>
      <c r="F3234" s="320"/>
      <c r="G3234" s="314"/>
    </row>
    <row r="3235" spans="1:7" s="745" customFormat="1" ht="15" x14ac:dyDescent="0.25">
      <c r="A3235" s="305" t="s">
        <v>135</v>
      </c>
      <c r="B3235" s="182"/>
      <c r="C3235" s="301"/>
      <c r="D3235" s="182"/>
      <c r="E3235" s="302"/>
      <c r="F3235" s="303"/>
      <c r="G3235" s="304"/>
    </row>
    <row r="3236" spans="1:7" s="745" customFormat="1" ht="15" x14ac:dyDescent="0.25">
      <c r="A3236" s="182"/>
      <c r="B3236" s="182"/>
      <c r="C3236" s="301"/>
      <c r="D3236" s="182"/>
      <c r="E3236" s="302"/>
      <c r="F3236" s="303"/>
      <c r="G3236" s="304"/>
    </row>
    <row r="3237" spans="1:7" s="745" customFormat="1" ht="15" x14ac:dyDescent="0.25">
      <c r="A3237" s="1075" t="s">
        <v>116</v>
      </c>
      <c r="B3237" s="1075"/>
      <c r="C3237" s="1075" t="s">
        <v>117</v>
      </c>
      <c r="D3237" s="306" t="s">
        <v>136</v>
      </c>
      <c r="E3237" s="1075" t="s">
        <v>124</v>
      </c>
      <c r="F3237" s="321" t="s">
        <v>126</v>
      </c>
      <c r="G3237" s="307" t="s">
        <v>134</v>
      </c>
    </row>
    <row r="3238" spans="1:7" s="745" customFormat="1" ht="15" x14ac:dyDescent="0.25">
      <c r="A3238" s="150" t="s">
        <v>175</v>
      </c>
      <c r="B3238" s="332"/>
      <c r="C3238" s="333" t="s">
        <v>79</v>
      </c>
      <c r="D3238" s="330"/>
      <c r="E3238" s="183">
        <f>20000*1.7*2</f>
        <v>68000</v>
      </c>
      <c r="F3238" s="331">
        <f>1/3</f>
        <v>0.33333333333333331</v>
      </c>
      <c r="G3238" s="183">
        <f>F3238*E3238</f>
        <v>22666.666666666664</v>
      </c>
    </row>
    <row r="3239" spans="1:7" s="745" customFormat="1" ht="15" x14ac:dyDescent="0.25">
      <c r="A3239" s="182"/>
      <c r="B3239" s="334"/>
      <c r="C3239" s="329"/>
      <c r="D3239" s="330"/>
      <c r="E3239" s="314"/>
      <c r="F3239" s="323"/>
      <c r="G3239" s="314"/>
    </row>
    <row r="3240" spans="1:7" s="745" customFormat="1" ht="15" x14ac:dyDescent="0.25">
      <c r="A3240" s="182"/>
      <c r="B3240" s="328"/>
      <c r="C3240" s="329"/>
      <c r="D3240" s="330"/>
      <c r="E3240" s="314"/>
      <c r="F3240" s="323"/>
      <c r="G3240" s="314"/>
    </row>
    <row r="3241" spans="1:7" s="745" customFormat="1" ht="15" x14ac:dyDescent="0.25">
      <c r="A3241" s="182"/>
      <c r="B3241" s="328"/>
      <c r="C3241" s="329"/>
      <c r="D3241" s="330"/>
      <c r="E3241" s="314"/>
      <c r="F3241" s="323"/>
      <c r="G3241" s="314"/>
    </row>
    <row r="3242" spans="1:7" s="745" customFormat="1" ht="15" x14ac:dyDescent="0.25">
      <c r="A3242" s="182"/>
      <c r="B3242" s="303"/>
      <c r="C3242" s="326"/>
      <c r="D3242" s="318"/>
      <c r="E3242" s="326"/>
      <c r="F3242" s="303"/>
      <c r="G3242" s="326"/>
    </row>
    <row r="3243" spans="1:7" s="745" customFormat="1" ht="15" x14ac:dyDescent="0.25">
      <c r="A3243" s="182"/>
      <c r="B3243" s="303"/>
      <c r="C3243" s="326"/>
      <c r="D3243" s="318"/>
      <c r="E3243" s="326"/>
      <c r="F3243" s="303"/>
      <c r="G3243" s="326"/>
    </row>
    <row r="3244" spans="1:7" s="745" customFormat="1" ht="15" x14ac:dyDescent="0.25">
      <c r="A3244" s="182"/>
      <c r="B3244" s="182"/>
      <c r="C3244" s="301"/>
      <c r="D3244" s="182"/>
      <c r="E3244" s="320"/>
      <c r="F3244" s="320" t="s">
        <v>121</v>
      </c>
      <c r="G3244" s="314">
        <f>+SUM(G3238:G3243)</f>
        <v>22666.666666666664</v>
      </c>
    </row>
    <row r="3245" spans="1:7" s="745" customFormat="1" ht="15" x14ac:dyDescent="0.25">
      <c r="A3245" s="182"/>
      <c r="B3245" s="182"/>
      <c r="C3245" s="301"/>
      <c r="D3245" s="182"/>
      <c r="E3245" s="302"/>
      <c r="F3245" s="303"/>
      <c r="G3245" s="314"/>
    </row>
    <row r="3246" spans="1:7" s="745" customFormat="1" ht="15" x14ac:dyDescent="0.25">
      <c r="A3246" s="182"/>
      <c r="B3246" s="182"/>
      <c r="C3246" s="182"/>
      <c r="D3246" s="182"/>
      <c r="E3246" s="301"/>
      <c r="F3246" s="320" t="s">
        <v>137</v>
      </c>
      <c r="G3246" s="283">
        <f>+ROUND(G3214+G3224+G3233+G3244,0)</f>
        <v>1411940</v>
      </c>
    </row>
    <row r="3247" spans="1:7" s="1088" customFormat="1" ht="14.25" x14ac:dyDescent="0.2"/>
    <row r="3248" spans="1:7" s="1088" customFormat="1" ht="14.25" x14ac:dyDescent="0.2"/>
    <row r="3249" spans="1:7" s="745" customFormat="1" ht="15" x14ac:dyDescent="0.25">
      <c r="A3249" s="298" t="s">
        <v>114</v>
      </c>
      <c r="B3249" s="1274" t="s">
        <v>1</v>
      </c>
      <c r="C3249" s="1275"/>
      <c r="D3249" s="1275"/>
      <c r="E3249" s="1275"/>
      <c r="F3249" s="1276"/>
      <c r="G3249" s="299" t="s">
        <v>2</v>
      </c>
    </row>
    <row r="3250" spans="1:7" s="745" customFormat="1" ht="15" x14ac:dyDescent="0.25">
      <c r="A3250" s="1051">
        <f>'FORMATO PROPUESTA ECONÓMICA'!A93</f>
        <v>8.15</v>
      </c>
      <c r="B3250" s="1277" t="str">
        <f>'FORMATO PROPUESTA ECONÓMICA'!B93</f>
        <v>Válvula de compuerta elástica vástago no ascendente bridada d = 8"</v>
      </c>
      <c r="C3250" s="1278"/>
      <c r="D3250" s="1278"/>
      <c r="E3250" s="1278"/>
      <c r="F3250" s="1279"/>
      <c r="G3250" s="300" t="str">
        <f>'FORMATO PROPUESTA ECONÓMICA'!C93</f>
        <v>und</v>
      </c>
    </row>
    <row r="3251" spans="1:7" s="745" customFormat="1" ht="15" x14ac:dyDescent="0.25">
      <c r="A3251" s="182"/>
      <c r="B3251" s="1079"/>
      <c r="C3251" s="301"/>
      <c r="D3251" s="182"/>
      <c r="E3251" s="302"/>
      <c r="F3251" s="303"/>
      <c r="G3251" s="304"/>
    </row>
    <row r="3252" spans="1:7" s="745" customFormat="1" ht="15" x14ac:dyDescent="0.25">
      <c r="A3252" s="305" t="s">
        <v>115</v>
      </c>
      <c r="B3252" s="182"/>
      <c r="C3252" s="301"/>
      <c r="D3252" s="182"/>
      <c r="E3252" s="302"/>
      <c r="F3252" s="303"/>
      <c r="G3252" s="304"/>
    </row>
    <row r="3253" spans="1:7" s="745" customFormat="1" ht="15" x14ac:dyDescent="0.25">
      <c r="A3253" s="182"/>
      <c r="B3253" s="182"/>
      <c r="C3253" s="301"/>
      <c r="D3253" s="182"/>
      <c r="E3253" s="302"/>
      <c r="F3253" s="303"/>
      <c r="G3253" s="304"/>
    </row>
    <row r="3254" spans="1:7" s="745" customFormat="1" ht="15" customHeight="1" x14ac:dyDescent="0.25">
      <c r="A3254" s="1268" t="s">
        <v>116</v>
      </c>
      <c r="B3254" s="1268"/>
      <c r="C3254" s="306" t="s">
        <v>117</v>
      </c>
      <c r="D3254" s="1075" t="s">
        <v>118</v>
      </c>
      <c r="E3254" s="218" t="s">
        <v>39</v>
      </c>
      <c r="F3254" s="1075" t="s">
        <v>119</v>
      </c>
      <c r="G3254" s="307" t="s">
        <v>120</v>
      </c>
    </row>
    <row r="3255" spans="1:7" s="745" customFormat="1" ht="15" x14ac:dyDescent="0.25">
      <c r="A3255" s="1269" t="str">
        <f>B3250</f>
        <v>Válvula de compuerta elástica vástago no ascendente bridada d = 8"</v>
      </c>
      <c r="B3255" s="1269"/>
      <c r="C3255" s="308" t="s">
        <v>79</v>
      </c>
      <c r="D3255" s="335">
        <v>1991720</v>
      </c>
      <c r="E3255" s="310">
        <v>1</v>
      </c>
      <c r="F3255" s="311">
        <v>0</v>
      </c>
      <c r="G3255" s="312">
        <f>D3255*(E3255+F3255)</f>
        <v>1991720</v>
      </c>
    </row>
    <row r="3256" spans="1:7" s="745" customFormat="1" ht="15" x14ac:dyDescent="0.25">
      <c r="A3256" s="1261"/>
      <c r="B3256" s="1261"/>
      <c r="C3256" s="313"/>
      <c r="D3256" s="314"/>
      <c r="E3256" s="315"/>
      <c r="F3256" s="316"/>
      <c r="G3256" s="317">
        <f>D3256*E3256</f>
        <v>0</v>
      </c>
    </row>
    <row r="3257" spans="1:7" s="745" customFormat="1" ht="15" x14ac:dyDescent="0.25">
      <c r="A3257" s="1261"/>
      <c r="B3257" s="1261"/>
      <c r="C3257" s="318"/>
      <c r="D3257" s="314"/>
      <c r="E3257" s="315"/>
      <c r="F3257" s="316"/>
      <c r="G3257" s="317">
        <f>D3257*E3257</f>
        <v>0</v>
      </c>
    </row>
    <row r="3258" spans="1:7" s="745" customFormat="1" ht="15" x14ac:dyDescent="0.25">
      <c r="A3258" s="1261"/>
      <c r="B3258" s="1261"/>
      <c r="C3258" s="313"/>
      <c r="D3258" s="314"/>
      <c r="E3258" s="315"/>
      <c r="F3258" s="316"/>
      <c r="G3258" s="317">
        <f>D3258*E3258</f>
        <v>0</v>
      </c>
    </row>
    <row r="3259" spans="1:7" s="745" customFormat="1" ht="15" customHeight="1" x14ac:dyDescent="0.25">
      <c r="A3259" s="1063"/>
      <c r="B3259" s="1063"/>
      <c r="C3259" s="318"/>
      <c r="D3259" s="314"/>
      <c r="E3259" s="315"/>
      <c r="F3259" s="319"/>
      <c r="G3259" s="317">
        <f>D3259*E3259</f>
        <v>0</v>
      </c>
    </row>
    <row r="3260" spans="1:7" s="745" customFormat="1" ht="15" x14ac:dyDescent="0.25">
      <c r="A3260" s="1079"/>
      <c r="B3260" s="1079"/>
      <c r="C3260" s="301"/>
      <c r="D3260" s="182"/>
      <c r="E3260" s="182"/>
      <c r="F3260" s="320" t="s">
        <v>121</v>
      </c>
      <c r="G3260" s="314">
        <f>+SUM(G3255:G3259)</f>
        <v>1991720</v>
      </c>
    </row>
    <row r="3261" spans="1:7" s="745" customFormat="1" ht="15" x14ac:dyDescent="0.25">
      <c r="A3261" s="182"/>
      <c r="B3261" s="182"/>
      <c r="C3261" s="301" t="s">
        <v>123</v>
      </c>
      <c r="D3261" s="182"/>
      <c r="E3261" s="302"/>
      <c r="F3261" s="303"/>
      <c r="G3261" s="304"/>
    </row>
    <row r="3262" spans="1:7" s="745" customFormat="1" ht="15" x14ac:dyDescent="0.25">
      <c r="A3262" s="305" t="s">
        <v>122</v>
      </c>
      <c r="B3262" s="182"/>
      <c r="C3262" s="301" t="s">
        <v>123</v>
      </c>
      <c r="D3262" s="182"/>
      <c r="E3262" s="302"/>
      <c r="F3262" s="303"/>
      <c r="G3262" s="304"/>
    </row>
    <row r="3263" spans="1:7" s="745" customFormat="1" ht="15" x14ac:dyDescent="0.25">
      <c r="A3263" s="182"/>
      <c r="B3263" s="182"/>
      <c r="C3263" s="301"/>
      <c r="D3263" s="182"/>
      <c r="E3263" s="302"/>
      <c r="F3263" s="303"/>
      <c r="G3263" s="304"/>
    </row>
    <row r="3264" spans="1:7" s="745" customFormat="1" ht="15" x14ac:dyDescent="0.25">
      <c r="A3264" s="1075" t="s">
        <v>116</v>
      </c>
      <c r="B3264" s="1075"/>
      <c r="C3264" s="306" t="s">
        <v>117</v>
      </c>
      <c r="D3264" s="1075" t="s">
        <v>124</v>
      </c>
      <c r="E3264" s="1075" t="s">
        <v>125</v>
      </c>
      <c r="F3264" s="321" t="s">
        <v>126</v>
      </c>
      <c r="G3264" s="307" t="s">
        <v>120</v>
      </c>
    </row>
    <row r="3265" spans="1:7" s="745" customFormat="1" ht="29.25" x14ac:dyDescent="0.25">
      <c r="A3265" s="1063" t="s">
        <v>127</v>
      </c>
      <c r="B3265" s="1063"/>
      <c r="C3265" s="318" t="s">
        <v>128</v>
      </c>
      <c r="D3265" s="312"/>
      <c r="E3265" s="322"/>
      <c r="F3265" s="323"/>
      <c r="G3265" s="324">
        <f>G3279*0.05</f>
        <v>2521.5989333333332</v>
      </c>
    </row>
    <row r="3266" spans="1:7" s="745" customFormat="1" ht="15" x14ac:dyDescent="0.25">
      <c r="A3266" s="1079"/>
      <c r="B3266" s="1079"/>
      <c r="C3266" s="313"/>
      <c r="D3266" s="314"/>
      <c r="E3266" s="325"/>
      <c r="F3266" s="323"/>
      <c r="G3266" s="314"/>
    </row>
    <row r="3267" spans="1:7" s="745" customFormat="1" ht="15" x14ac:dyDescent="0.25">
      <c r="A3267" s="1079"/>
      <c r="B3267" s="1079"/>
      <c r="C3267" s="313"/>
      <c r="D3267" s="314"/>
      <c r="E3267" s="325"/>
      <c r="F3267" s="323"/>
      <c r="G3267" s="314"/>
    </row>
    <row r="3268" spans="1:7" s="745" customFormat="1" ht="15" x14ac:dyDescent="0.25">
      <c r="A3268" s="182"/>
      <c r="B3268" s="303"/>
      <c r="C3268" s="318"/>
      <c r="D3268" s="314"/>
      <c r="E3268" s="325"/>
      <c r="F3268" s="323"/>
      <c r="G3268" s="258"/>
    </row>
    <row r="3269" spans="1:7" s="745" customFormat="1" ht="15" x14ac:dyDescent="0.25">
      <c r="A3269" s="182"/>
      <c r="B3269" s="303"/>
      <c r="C3269" s="318"/>
      <c r="D3269" s="326"/>
      <c r="E3269" s="325"/>
      <c r="F3269" s="303"/>
      <c r="G3269" s="327"/>
    </row>
    <row r="3270" spans="1:7" s="745" customFormat="1" ht="15" x14ac:dyDescent="0.25">
      <c r="A3270" s="182"/>
      <c r="B3270" s="303"/>
      <c r="C3270" s="318"/>
      <c r="D3270" s="303"/>
      <c r="E3270" s="182"/>
      <c r="F3270" s="320" t="s">
        <v>121</v>
      </c>
      <c r="G3270" s="258">
        <f>+SUM(G3265:G3269)</f>
        <v>2521.5989333333332</v>
      </c>
    </row>
    <row r="3271" spans="1:7" s="745" customFormat="1" ht="15" x14ac:dyDescent="0.25">
      <c r="A3271" s="182"/>
      <c r="B3271" s="182"/>
      <c r="C3271" s="301"/>
      <c r="D3271" s="182"/>
      <c r="E3271" s="302"/>
      <c r="F3271" s="182"/>
      <c r="G3271" s="304"/>
    </row>
    <row r="3272" spans="1:7" s="745" customFormat="1" ht="15" x14ac:dyDescent="0.25">
      <c r="A3272" s="305" t="s">
        <v>130</v>
      </c>
      <c r="B3272" s="182"/>
      <c r="C3272" s="301"/>
      <c r="D3272" s="182"/>
      <c r="E3272" s="302"/>
      <c r="F3272" s="303"/>
      <c r="G3272" s="304"/>
    </row>
    <row r="3273" spans="1:7" s="745" customFormat="1" ht="15" x14ac:dyDescent="0.25">
      <c r="A3273" s="182"/>
      <c r="B3273" s="182"/>
      <c r="C3273" s="301"/>
      <c r="D3273" s="182"/>
      <c r="E3273" s="302"/>
      <c r="F3273" s="303"/>
      <c r="G3273" s="304"/>
    </row>
    <row r="3274" spans="1:7" s="745" customFormat="1" ht="15" x14ac:dyDescent="0.25">
      <c r="A3274" s="1075" t="s">
        <v>116</v>
      </c>
      <c r="B3274" s="1075"/>
      <c r="C3274" s="1075" t="s">
        <v>131</v>
      </c>
      <c r="D3274" s="306" t="s">
        <v>132</v>
      </c>
      <c r="E3274" s="1075" t="s">
        <v>133</v>
      </c>
      <c r="F3274" s="321" t="s">
        <v>126</v>
      </c>
      <c r="G3274" s="307" t="s">
        <v>134</v>
      </c>
    </row>
    <row r="3275" spans="1:7" s="745" customFormat="1" ht="15" x14ac:dyDescent="0.25">
      <c r="A3275" s="182" t="s">
        <v>10</v>
      </c>
      <c r="B3275" s="328"/>
      <c r="C3275" s="329">
        <f>M2*2</f>
        <v>45963.6</v>
      </c>
      <c r="D3275" s="330">
        <f>N2</f>
        <v>1.76</v>
      </c>
      <c r="E3275" s="183">
        <f>D3275*C3275</f>
        <v>80895.936000000002</v>
      </c>
      <c r="F3275" s="331">
        <f>1/3</f>
        <v>0.33333333333333331</v>
      </c>
      <c r="G3275" s="183">
        <f>F3275*E3275</f>
        <v>26965.311999999998</v>
      </c>
    </row>
    <row r="3276" spans="1:7" s="745" customFormat="1" ht="15" x14ac:dyDescent="0.25">
      <c r="A3276" s="182" t="s">
        <v>140</v>
      </c>
      <c r="B3276" s="328"/>
      <c r="C3276" s="329">
        <f>M3</f>
        <v>40000</v>
      </c>
      <c r="D3276" s="330">
        <f>N3</f>
        <v>1.76</v>
      </c>
      <c r="E3276" s="183">
        <f>D3276*C3276</f>
        <v>70400</v>
      </c>
      <c r="F3276" s="331">
        <f>1/3</f>
        <v>0.33333333333333331</v>
      </c>
      <c r="G3276" s="183">
        <f>F3276*E3276</f>
        <v>23466.666666666664</v>
      </c>
    </row>
    <row r="3277" spans="1:7" s="745" customFormat="1" ht="15" x14ac:dyDescent="0.25">
      <c r="A3277" s="182"/>
      <c r="B3277" s="303"/>
      <c r="C3277" s="326"/>
      <c r="D3277" s="318"/>
      <c r="E3277" s="326"/>
      <c r="F3277" s="303"/>
      <c r="G3277" s="326"/>
    </row>
    <row r="3278" spans="1:7" s="745" customFormat="1" ht="15" x14ac:dyDescent="0.25">
      <c r="A3278" s="182"/>
      <c r="B3278" s="303"/>
      <c r="C3278" s="326"/>
      <c r="D3278" s="318"/>
      <c r="E3278" s="326"/>
      <c r="F3278" s="303"/>
      <c r="G3278" s="326"/>
    </row>
    <row r="3279" spans="1:7" s="745" customFormat="1" ht="15" x14ac:dyDescent="0.25">
      <c r="A3279" s="182"/>
      <c r="B3279" s="182"/>
      <c r="C3279" s="301"/>
      <c r="D3279" s="182"/>
      <c r="E3279" s="320"/>
      <c r="F3279" s="320" t="s">
        <v>121</v>
      </c>
      <c r="G3279" s="314">
        <f>+SUM(G3275:G3278)</f>
        <v>50431.978666666662</v>
      </c>
    </row>
    <row r="3280" spans="1:7" s="745" customFormat="1" ht="15" x14ac:dyDescent="0.25">
      <c r="A3280" s="182"/>
      <c r="B3280" s="182"/>
      <c r="C3280" s="301"/>
      <c r="D3280" s="182"/>
      <c r="E3280" s="320"/>
      <c r="F3280" s="320"/>
      <c r="G3280" s="314"/>
    </row>
    <row r="3281" spans="1:8" s="745" customFormat="1" ht="15" x14ac:dyDescent="0.25">
      <c r="A3281" s="305" t="s">
        <v>135</v>
      </c>
      <c r="B3281" s="182"/>
      <c r="C3281" s="301"/>
      <c r="D3281" s="182"/>
      <c r="E3281" s="302"/>
      <c r="F3281" s="303"/>
      <c r="G3281" s="304"/>
    </row>
    <row r="3282" spans="1:8" s="745" customFormat="1" ht="15" x14ac:dyDescent="0.25">
      <c r="A3282" s="182"/>
      <c r="B3282" s="182"/>
      <c r="C3282" s="301"/>
      <c r="D3282" s="182"/>
      <c r="E3282" s="302"/>
      <c r="F3282" s="303"/>
      <c r="G3282" s="304"/>
    </row>
    <row r="3283" spans="1:8" s="745" customFormat="1" ht="15" x14ac:dyDescent="0.25">
      <c r="A3283" s="1075" t="s">
        <v>116</v>
      </c>
      <c r="B3283" s="1075"/>
      <c r="C3283" s="1075" t="s">
        <v>117</v>
      </c>
      <c r="D3283" s="306" t="s">
        <v>136</v>
      </c>
      <c r="E3283" s="1075" t="s">
        <v>124</v>
      </c>
      <c r="F3283" s="321" t="s">
        <v>126</v>
      </c>
      <c r="G3283" s="307" t="s">
        <v>134</v>
      </c>
    </row>
    <row r="3284" spans="1:8" s="745" customFormat="1" ht="15" x14ac:dyDescent="0.25">
      <c r="A3284" s="150" t="s">
        <v>175</v>
      </c>
      <c r="B3284" s="332"/>
      <c r="C3284" s="333" t="s">
        <v>79</v>
      </c>
      <c r="D3284" s="330"/>
      <c r="E3284" s="183">
        <f>20000*1.7*2</f>
        <v>68000</v>
      </c>
      <c r="F3284" s="331">
        <f>1/3</f>
        <v>0.33333333333333331</v>
      </c>
      <c r="G3284" s="183">
        <f>F3284*E3284</f>
        <v>22666.666666666664</v>
      </c>
    </row>
    <row r="3285" spans="1:8" s="745" customFormat="1" ht="15" x14ac:dyDescent="0.25">
      <c r="A3285" s="182"/>
      <c r="B3285" s="334"/>
      <c r="C3285" s="329"/>
      <c r="D3285" s="330"/>
      <c r="E3285" s="314"/>
      <c r="F3285" s="323"/>
      <c r="G3285" s="314"/>
    </row>
    <row r="3286" spans="1:8" s="745" customFormat="1" ht="15" x14ac:dyDescent="0.25">
      <c r="A3286" s="182"/>
      <c r="B3286" s="328"/>
      <c r="C3286" s="329"/>
      <c r="D3286" s="330"/>
      <c r="E3286" s="314"/>
      <c r="F3286" s="323"/>
      <c r="G3286" s="314"/>
    </row>
    <row r="3287" spans="1:8" s="745" customFormat="1" ht="15" x14ac:dyDescent="0.25">
      <c r="A3287" s="182"/>
      <c r="B3287" s="328"/>
      <c r="C3287" s="329"/>
      <c r="D3287" s="330"/>
      <c r="E3287" s="314"/>
      <c r="F3287" s="323"/>
      <c r="G3287" s="314"/>
    </row>
    <row r="3288" spans="1:8" s="745" customFormat="1" ht="15" x14ac:dyDescent="0.25">
      <c r="A3288" s="182"/>
      <c r="B3288" s="303"/>
      <c r="C3288" s="326"/>
      <c r="D3288" s="318"/>
      <c r="E3288" s="326"/>
      <c r="F3288" s="303"/>
      <c r="G3288" s="326"/>
    </row>
    <row r="3289" spans="1:8" s="745" customFormat="1" ht="15" x14ac:dyDescent="0.25">
      <c r="A3289" s="182"/>
      <c r="B3289" s="303"/>
      <c r="C3289" s="326"/>
      <c r="D3289" s="318"/>
      <c r="E3289" s="326"/>
      <c r="F3289" s="303"/>
      <c r="G3289" s="326"/>
    </row>
    <row r="3290" spans="1:8" s="745" customFormat="1" ht="15" x14ac:dyDescent="0.25">
      <c r="A3290" s="182"/>
      <c r="B3290" s="182"/>
      <c r="C3290" s="301"/>
      <c r="D3290" s="182"/>
      <c r="E3290" s="320"/>
      <c r="F3290" s="320" t="s">
        <v>121</v>
      </c>
      <c r="G3290" s="314">
        <f>+SUM(G3284:G3289)</f>
        <v>22666.666666666664</v>
      </c>
    </row>
    <row r="3291" spans="1:8" s="745" customFormat="1" ht="15" x14ac:dyDescent="0.25">
      <c r="A3291" s="182"/>
      <c r="B3291" s="182"/>
      <c r="C3291" s="301"/>
      <c r="D3291" s="182"/>
      <c r="E3291" s="302"/>
      <c r="F3291" s="303"/>
      <c r="G3291" s="314"/>
    </row>
    <row r="3292" spans="1:8" s="745" customFormat="1" ht="15" x14ac:dyDescent="0.25">
      <c r="A3292" s="182"/>
      <c r="B3292" s="182"/>
      <c r="C3292" s="182"/>
      <c r="D3292" s="182"/>
      <c r="E3292" s="301"/>
      <c r="F3292" s="320" t="s">
        <v>137</v>
      </c>
      <c r="G3292" s="283">
        <f>+ROUND(G3260+G3270+G3279+G3290,0)</f>
        <v>2067340</v>
      </c>
    </row>
    <row r="3293" spans="1:8" s="745" customFormat="1" ht="15" x14ac:dyDescent="0.25">
      <c r="A3293" s="212"/>
      <c r="B3293" s="212"/>
      <c r="C3293" s="212"/>
      <c r="D3293" s="212"/>
      <c r="E3293" s="211"/>
      <c r="F3293" s="211"/>
      <c r="G3293" s="211"/>
      <c r="H3293" s="211"/>
    </row>
    <row r="3294" spans="1:8" s="1088" customFormat="1" ht="15" x14ac:dyDescent="0.25">
      <c r="A3294" s="209"/>
      <c r="B3294" s="212"/>
      <c r="C3294" s="212"/>
      <c r="D3294" s="212"/>
      <c r="E3294" s="211"/>
      <c r="F3294" s="257"/>
      <c r="G3294" s="257"/>
      <c r="H3294" s="257"/>
    </row>
    <row r="3295" spans="1:8" s="1088" customFormat="1" ht="15" x14ac:dyDescent="0.25">
      <c r="A3295" s="145" t="s">
        <v>160</v>
      </c>
      <c r="B3295" s="1262" t="s">
        <v>161</v>
      </c>
      <c r="C3295" s="1263"/>
      <c r="D3295" s="1263"/>
      <c r="E3295" s="1263"/>
      <c r="F3295" s="1264"/>
      <c r="G3295" s="146" t="s">
        <v>2</v>
      </c>
    </row>
    <row r="3296" spans="1:8" s="1088" customFormat="1" ht="31.5" customHeight="1" x14ac:dyDescent="0.25">
      <c r="A3296" s="285">
        <f>'FORMATO PROPUESTA ECONÓMICA'!A94</f>
        <v>8.16</v>
      </c>
      <c r="B3296" s="1270" t="str">
        <f>'FORMATO PROPUESTA ECONÓMICA'!B94</f>
        <v xml:space="preserve">Hidrante Ø 3¨ tipo milan incluye válvula en HD extremo liso y demas  accesorios para su instalación </v>
      </c>
      <c r="C3296" s="1271"/>
      <c r="D3296" s="1271"/>
      <c r="E3296" s="1271"/>
      <c r="F3296" s="1272"/>
      <c r="G3296" s="187" t="str">
        <f>'FORMATO PROPUESTA ECONÓMICA'!C94</f>
        <v>und</v>
      </c>
    </row>
    <row r="3297" spans="1:7" s="1088" customFormat="1" ht="14.25" x14ac:dyDescent="0.2">
      <c r="A3297" s="209"/>
      <c r="B3297" s="210"/>
      <c r="C3297" s="211"/>
      <c r="D3297" s="212"/>
      <c r="E3297" s="213"/>
      <c r="F3297" s="214"/>
      <c r="G3297" s="215"/>
    </row>
    <row r="3298" spans="1:7" s="1088" customFormat="1" ht="15" x14ac:dyDescent="0.25">
      <c r="A3298" s="216" t="s">
        <v>115</v>
      </c>
      <c r="B3298" s="212"/>
      <c r="C3298" s="211"/>
      <c r="D3298" s="212"/>
      <c r="E3298" s="213"/>
      <c r="F3298" s="214"/>
      <c r="G3298" s="215"/>
    </row>
    <row r="3299" spans="1:7" s="1088" customFormat="1" ht="15" customHeight="1" x14ac:dyDescent="0.2">
      <c r="A3299" s="209"/>
      <c r="B3299" s="212"/>
      <c r="C3299" s="211"/>
      <c r="D3299" s="212"/>
      <c r="E3299" s="213"/>
      <c r="F3299" s="214"/>
      <c r="G3299" s="215"/>
    </row>
    <row r="3300" spans="1:7" s="1088" customFormat="1" ht="15" x14ac:dyDescent="0.25">
      <c r="A3300" s="1075" t="s">
        <v>116</v>
      </c>
      <c r="B3300" s="1076"/>
      <c r="C3300" s="217" t="s">
        <v>117</v>
      </c>
      <c r="D3300" s="1075" t="s">
        <v>118</v>
      </c>
      <c r="E3300" s="218" t="s">
        <v>39</v>
      </c>
      <c r="F3300" s="1075" t="s">
        <v>119</v>
      </c>
      <c r="G3300" s="219" t="s">
        <v>120</v>
      </c>
    </row>
    <row r="3301" spans="1:7" s="1088" customFormat="1" ht="14.25" x14ac:dyDescent="0.2">
      <c r="A3301" s="1254" t="str">
        <f>B3296</f>
        <v xml:space="preserve">Hidrante Ø 3¨ tipo milan incluye válvula en HD extremo liso y demas  accesorios para su instalación </v>
      </c>
      <c r="B3301" s="1273"/>
      <c r="C3301" s="225">
        <v>1</v>
      </c>
      <c r="D3301" s="336">
        <v>1816000</v>
      </c>
      <c r="E3301" s="276">
        <v>1</v>
      </c>
      <c r="F3301" s="222"/>
      <c r="G3301" s="228">
        <f>D3301*E3301</f>
        <v>1816000</v>
      </c>
    </row>
    <row r="3302" spans="1:7" s="1088" customFormat="1" ht="14.25" x14ac:dyDescent="0.2">
      <c r="A3302" s="1252" t="s">
        <v>464</v>
      </c>
      <c r="B3302" s="1253"/>
      <c r="C3302" s="225">
        <v>1</v>
      </c>
      <c r="D3302" s="292">
        <v>380000</v>
      </c>
      <c r="E3302" s="226">
        <v>1</v>
      </c>
      <c r="F3302" s="227"/>
      <c r="G3302" s="228">
        <f>D3302*E3302</f>
        <v>380000</v>
      </c>
    </row>
    <row r="3303" spans="1:7" s="1088" customFormat="1" ht="42.75" customHeight="1" x14ac:dyDescent="0.2">
      <c r="A3303" s="1254" t="s">
        <v>83</v>
      </c>
      <c r="B3303" s="1255"/>
      <c r="C3303" s="225">
        <v>1</v>
      </c>
      <c r="D3303" s="292">
        <v>87000</v>
      </c>
      <c r="E3303" s="226">
        <v>1</v>
      </c>
      <c r="F3303" s="227"/>
      <c r="G3303" s="228">
        <f>D3303*E3303</f>
        <v>87000</v>
      </c>
    </row>
    <row r="3304" spans="1:7" s="1088" customFormat="1" ht="15" customHeight="1" x14ac:dyDescent="0.2">
      <c r="A3304" s="1060"/>
      <c r="B3304" s="1068"/>
      <c r="C3304" s="225"/>
      <c r="D3304" s="221"/>
      <c r="E3304" s="226"/>
      <c r="F3304" s="227"/>
      <c r="G3304" s="228">
        <f>D3304*E3304</f>
        <v>0</v>
      </c>
    </row>
    <row r="3305" spans="1:7" s="1088" customFormat="1" ht="14.25" x14ac:dyDescent="0.2">
      <c r="A3305" s="1069"/>
      <c r="B3305" s="1070"/>
      <c r="C3305" s="230"/>
      <c r="D3305" s="231"/>
      <c r="E3305" s="232"/>
      <c r="F3305" s="233"/>
      <c r="G3305" s="228">
        <f>D3305*E3305</f>
        <v>0</v>
      </c>
    </row>
    <row r="3306" spans="1:7" s="1088" customFormat="1" ht="15" x14ac:dyDescent="0.25">
      <c r="A3306" s="1073"/>
      <c r="B3306" s="210"/>
      <c r="C3306" s="211"/>
      <c r="D3306" s="212"/>
      <c r="E3306" s="212"/>
      <c r="F3306" s="234" t="s">
        <v>121</v>
      </c>
      <c r="G3306" s="231">
        <f>+SUM(G3301:G3305)</f>
        <v>2283000</v>
      </c>
    </row>
    <row r="3307" spans="1:7" s="1088" customFormat="1" ht="14.25" x14ac:dyDescent="0.2">
      <c r="A3307" s="209"/>
      <c r="B3307" s="212"/>
      <c r="C3307" s="211" t="s">
        <v>123</v>
      </c>
      <c r="D3307" s="212"/>
      <c r="E3307" s="213"/>
      <c r="F3307" s="214"/>
      <c r="G3307" s="215"/>
    </row>
    <row r="3308" spans="1:7" s="1088" customFormat="1" ht="15" x14ac:dyDescent="0.25">
      <c r="A3308" s="216" t="s">
        <v>122</v>
      </c>
      <c r="B3308" s="212"/>
      <c r="C3308" s="211" t="s">
        <v>123</v>
      </c>
      <c r="D3308" s="212"/>
      <c r="E3308" s="213"/>
      <c r="F3308" s="214"/>
      <c r="G3308" s="215"/>
    </row>
    <row r="3309" spans="1:7" s="1088" customFormat="1" ht="14.25" x14ac:dyDescent="0.2">
      <c r="A3309" s="209"/>
      <c r="B3309" s="212"/>
      <c r="C3309" s="211"/>
      <c r="D3309" s="212"/>
      <c r="E3309" s="213"/>
      <c r="F3309" s="214"/>
      <c r="G3309" s="215"/>
    </row>
    <row r="3310" spans="1:7" s="1088" customFormat="1" ht="15" x14ac:dyDescent="0.25">
      <c r="A3310" s="1071" t="s">
        <v>116</v>
      </c>
      <c r="B3310" s="1072"/>
      <c r="C3310" s="235" t="s">
        <v>117</v>
      </c>
      <c r="D3310" s="236" t="s">
        <v>124</v>
      </c>
      <c r="E3310" s="236" t="s">
        <v>125</v>
      </c>
      <c r="F3310" s="237" t="s">
        <v>126</v>
      </c>
      <c r="G3310" s="238" t="s">
        <v>120</v>
      </c>
    </row>
    <row r="3311" spans="1:7" s="1088" customFormat="1" ht="28.5" x14ac:dyDescent="0.2">
      <c r="A3311" s="1066" t="s">
        <v>127</v>
      </c>
      <c r="B3311" s="1067"/>
      <c r="C3311" s="239" t="s">
        <v>128</v>
      </c>
      <c r="D3311" s="240"/>
      <c r="E3311" s="241"/>
      <c r="F3311" s="222"/>
      <c r="G3311" s="242">
        <f>G3325*0.05</f>
        <v>18911.991999999998</v>
      </c>
    </row>
    <row r="3312" spans="1:7" s="1088" customFormat="1" ht="14.25" x14ac:dyDescent="0.2">
      <c r="A3312" s="1073"/>
      <c r="B3312" s="1074"/>
      <c r="C3312" s="243"/>
      <c r="D3312" s="221"/>
      <c r="E3312" s="244"/>
      <c r="F3312" s="222"/>
      <c r="G3312" s="224"/>
    </row>
    <row r="3313" spans="1:7" s="1088" customFormat="1" ht="14.25" x14ac:dyDescent="0.2">
      <c r="A3313" s="1073"/>
      <c r="B3313" s="1074"/>
      <c r="C3313" s="243"/>
      <c r="D3313" s="221"/>
      <c r="E3313" s="244"/>
      <c r="F3313" s="222"/>
      <c r="G3313" s="224"/>
    </row>
    <row r="3314" spans="1:7" s="1088" customFormat="1" ht="14.25" x14ac:dyDescent="0.2">
      <c r="A3314" s="209"/>
      <c r="B3314" s="245"/>
      <c r="C3314" s="246"/>
      <c r="D3314" s="221"/>
      <c r="E3314" s="247"/>
      <c r="F3314" s="222"/>
      <c r="G3314" s="248"/>
    </row>
    <row r="3315" spans="1:7" s="1088" customFormat="1" ht="14.25" x14ac:dyDescent="0.2">
      <c r="A3315" s="249"/>
      <c r="B3315" s="250"/>
      <c r="C3315" s="251"/>
      <c r="D3315" s="252"/>
      <c r="E3315" s="253"/>
      <c r="F3315" s="254"/>
      <c r="G3315" s="255"/>
    </row>
    <row r="3316" spans="1:7" s="1088" customFormat="1" ht="15" x14ac:dyDescent="0.25">
      <c r="A3316" s="209"/>
      <c r="B3316" s="214"/>
      <c r="C3316" s="256"/>
      <c r="D3316" s="214"/>
      <c r="E3316" s="212"/>
      <c r="F3316" s="257" t="s">
        <v>121</v>
      </c>
      <c r="G3316" s="258">
        <f>+SUM(G3311:G3315)</f>
        <v>18911.991999999998</v>
      </c>
    </row>
    <row r="3317" spans="1:7" s="1088" customFormat="1" ht="14.25" x14ac:dyDescent="0.2">
      <c r="A3317" s="209"/>
      <c r="B3317" s="212"/>
      <c r="C3317" s="211"/>
      <c r="D3317" s="212"/>
      <c r="E3317" s="213"/>
      <c r="F3317" s="212"/>
      <c r="G3317" s="215"/>
    </row>
    <row r="3318" spans="1:7" s="1088" customFormat="1" ht="15" x14ac:dyDescent="0.25">
      <c r="A3318" s="216" t="s">
        <v>130</v>
      </c>
      <c r="B3318" s="212"/>
      <c r="C3318" s="211"/>
      <c r="D3318" s="212"/>
      <c r="E3318" s="213"/>
      <c r="F3318" s="214"/>
      <c r="G3318" s="215"/>
    </row>
    <row r="3319" spans="1:7" s="1088" customFormat="1" ht="14.25" x14ac:dyDescent="0.2">
      <c r="A3319" s="209"/>
      <c r="B3319" s="212"/>
      <c r="C3319" s="211"/>
      <c r="D3319" s="212"/>
      <c r="E3319" s="213"/>
      <c r="F3319" s="214"/>
      <c r="G3319" s="215"/>
    </row>
    <row r="3320" spans="1:7" s="1088" customFormat="1" ht="15" x14ac:dyDescent="0.25">
      <c r="A3320" s="1071" t="s">
        <v>116</v>
      </c>
      <c r="B3320" s="1072"/>
      <c r="C3320" s="236" t="s">
        <v>131</v>
      </c>
      <c r="D3320" s="235" t="s">
        <v>132</v>
      </c>
      <c r="E3320" s="236" t="s">
        <v>133</v>
      </c>
      <c r="F3320" s="237" t="s">
        <v>126</v>
      </c>
      <c r="G3320" s="238" t="s">
        <v>134</v>
      </c>
    </row>
    <row r="3321" spans="1:7" s="1088" customFormat="1" ht="14.25" x14ac:dyDescent="0.2">
      <c r="A3321" s="209" t="s">
        <v>10</v>
      </c>
      <c r="B3321" s="259"/>
      <c r="C3321" s="260">
        <f>+M2*2</f>
        <v>45963.6</v>
      </c>
      <c r="D3321" s="261">
        <f>+N2</f>
        <v>1.76</v>
      </c>
      <c r="E3321" s="276">
        <f>C3321*D3321</f>
        <v>80895.936000000002</v>
      </c>
      <c r="F3321" s="222">
        <v>2.5</v>
      </c>
      <c r="G3321" s="224">
        <f>F3321*E3321</f>
        <v>202239.84</v>
      </c>
    </row>
    <row r="3322" spans="1:7" s="1088" customFormat="1" ht="14.25" x14ac:dyDescent="0.2">
      <c r="A3322" s="209" t="s">
        <v>140</v>
      </c>
      <c r="B3322" s="259"/>
      <c r="C3322" s="260">
        <f>+M3</f>
        <v>40000</v>
      </c>
      <c r="D3322" s="261">
        <f>+N3</f>
        <v>1.76</v>
      </c>
      <c r="E3322" s="276">
        <f>C3322*D3322</f>
        <v>70400</v>
      </c>
      <c r="F3322" s="222">
        <v>2.5</v>
      </c>
      <c r="G3322" s="224">
        <f>F3322*E3322</f>
        <v>176000</v>
      </c>
    </row>
    <row r="3323" spans="1:7" s="1088" customFormat="1" ht="14.25" x14ac:dyDescent="0.2">
      <c r="A3323" s="209"/>
      <c r="B3323" s="245"/>
      <c r="C3323" s="265"/>
      <c r="D3323" s="246"/>
      <c r="E3323" s="265"/>
      <c r="F3323" s="266"/>
      <c r="G3323" s="267"/>
    </row>
    <row r="3324" spans="1:7" s="1088" customFormat="1" ht="14.25" x14ac:dyDescent="0.2">
      <c r="A3324" s="249"/>
      <c r="B3324" s="250"/>
      <c r="C3324" s="252"/>
      <c r="D3324" s="251"/>
      <c r="E3324" s="252"/>
      <c r="F3324" s="254"/>
      <c r="G3324" s="268"/>
    </row>
    <row r="3325" spans="1:7" s="1088" customFormat="1" ht="15" x14ac:dyDescent="0.25">
      <c r="A3325" s="209"/>
      <c r="B3325" s="212"/>
      <c r="C3325" s="211"/>
      <c r="D3325" s="212"/>
      <c r="E3325" s="269"/>
      <c r="F3325" s="269" t="s">
        <v>121</v>
      </c>
      <c r="G3325" s="270">
        <f>+SUM(G3321:G3324)</f>
        <v>378239.83999999997</v>
      </c>
    </row>
    <row r="3326" spans="1:7" s="1088" customFormat="1" ht="15" x14ac:dyDescent="0.25">
      <c r="A3326" s="209"/>
      <c r="B3326" s="212"/>
      <c r="C3326" s="211"/>
      <c r="D3326" s="212"/>
      <c r="E3326" s="257"/>
      <c r="F3326" s="257"/>
      <c r="G3326" s="271"/>
    </row>
    <row r="3327" spans="1:7" s="1088" customFormat="1" ht="15" x14ac:dyDescent="0.25">
      <c r="A3327" s="216" t="s">
        <v>135</v>
      </c>
      <c r="B3327" s="212"/>
      <c r="C3327" s="211"/>
      <c r="D3327" s="212"/>
      <c r="E3327" s="213"/>
      <c r="F3327" s="214"/>
      <c r="G3327" s="215"/>
    </row>
    <row r="3328" spans="1:7" s="1088" customFormat="1" ht="14.25" x14ac:dyDescent="0.2">
      <c r="A3328" s="209"/>
      <c r="B3328" s="212"/>
      <c r="C3328" s="211"/>
      <c r="D3328" s="212"/>
      <c r="E3328" s="213"/>
      <c r="F3328" s="214"/>
      <c r="G3328" s="215"/>
    </row>
    <row r="3329" spans="1:9" s="1088" customFormat="1" ht="15" x14ac:dyDescent="0.25">
      <c r="A3329" s="1071" t="s">
        <v>116</v>
      </c>
      <c r="B3329" s="1072"/>
      <c r="C3329" s="236" t="s">
        <v>117</v>
      </c>
      <c r="D3329" s="235" t="s">
        <v>136</v>
      </c>
      <c r="E3329" s="236" t="s">
        <v>124</v>
      </c>
      <c r="F3329" s="237" t="s">
        <v>126</v>
      </c>
      <c r="G3329" s="238" t="s">
        <v>134</v>
      </c>
    </row>
    <row r="3330" spans="1:9" s="1088" customFormat="1" ht="14.25" x14ac:dyDescent="0.2">
      <c r="A3330" s="209" t="s">
        <v>175</v>
      </c>
      <c r="B3330" s="286"/>
      <c r="C3330" s="287" t="s">
        <v>79</v>
      </c>
      <c r="D3330" s="261"/>
      <c r="E3330" s="276">
        <v>51000</v>
      </c>
      <c r="F3330" s="222">
        <v>1</v>
      </c>
      <c r="G3330" s="224">
        <f>F3330*E3330</f>
        <v>51000</v>
      </c>
    </row>
    <row r="3331" spans="1:9" s="1088" customFormat="1" ht="14.25" x14ac:dyDescent="0.2">
      <c r="A3331" s="209"/>
      <c r="B3331" s="275"/>
      <c r="C3331" s="260"/>
      <c r="D3331" s="261"/>
      <c r="E3331" s="276"/>
      <c r="F3331" s="222"/>
      <c r="G3331" s="224"/>
    </row>
    <row r="3332" spans="1:9" s="1088" customFormat="1" ht="14.25" x14ac:dyDescent="0.2">
      <c r="A3332" s="209"/>
      <c r="B3332" s="259"/>
      <c r="C3332" s="260"/>
      <c r="D3332" s="261"/>
      <c r="E3332" s="276"/>
      <c r="F3332" s="222"/>
      <c r="G3332" s="224"/>
    </row>
    <row r="3333" spans="1:9" s="1088" customFormat="1" ht="14.25" x14ac:dyDescent="0.2">
      <c r="A3333" s="209"/>
      <c r="B3333" s="259"/>
      <c r="C3333" s="260"/>
      <c r="D3333" s="261"/>
      <c r="E3333" s="276"/>
      <c r="F3333" s="222"/>
      <c r="G3333" s="224"/>
    </row>
    <row r="3334" spans="1:9" s="1088" customFormat="1" ht="14.25" x14ac:dyDescent="0.2">
      <c r="A3334" s="209"/>
      <c r="B3334" s="245"/>
      <c r="C3334" s="265"/>
      <c r="D3334" s="246"/>
      <c r="E3334" s="265"/>
      <c r="F3334" s="266"/>
      <c r="G3334" s="267"/>
    </row>
    <row r="3335" spans="1:9" s="1088" customFormat="1" ht="14.25" x14ac:dyDescent="0.2">
      <c r="A3335" s="249"/>
      <c r="B3335" s="250"/>
      <c r="C3335" s="252"/>
      <c r="D3335" s="251"/>
      <c r="E3335" s="252"/>
      <c r="F3335" s="254"/>
      <c r="G3335" s="268"/>
    </row>
    <row r="3336" spans="1:9" s="1088" customFormat="1" ht="15" x14ac:dyDescent="0.25">
      <c r="A3336" s="209"/>
      <c r="B3336" s="212"/>
      <c r="C3336" s="211"/>
      <c r="D3336" s="212"/>
      <c r="E3336" s="269"/>
      <c r="F3336" s="269" t="s">
        <v>121</v>
      </c>
      <c r="G3336" s="270">
        <f>+SUM(G3330:G3335)</f>
        <v>51000</v>
      </c>
      <c r="I3336" s="1089"/>
    </row>
    <row r="3337" spans="1:9" s="1088" customFormat="1" ht="14.25" x14ac:dyDescent="0.2">
      <c r="A3337" s="209"/>
      <c r="B3337" s="212"/>
      <c r="C3337" s="211"/>
      <c r="D3337" s="212"/>
      <c r="E3337" s="213"/>
      <c r="F3337" s="214"/>
      <c r="G3337" s="271"/>
    </row>
    <row r="3338" spans="1:9" s="1088" customFormat="1" ht="15" x14ac:dyDescent="0.25">
      <c r="A3338" s="277"/>
      <c r="B3338" s="278"/>
      <c r="C3338" s="278"/>
      <c r="D3338" s="278"/>
      <c r="E3338" s="279"/>
      <c r="F3338" s="280" t="s">
        <v>137</v>
      </c>
      <c r="G3338" s="283">
        <f>+ROUND(G3306+G3316+G3325+G3336,0)</f>
        <v>2731152</v>
      </c>
      <c r="I3338" s="1088">
        <v>2731151.83</v>
      </c>
    </row>
    <row r="3339" spans="1:9" s="1088" customFormat="1" ht="15" x14ac:dyDescent="0.25">
      <c r="A3339" s="212"/>
      <c r="B3339" s="212"/>
      <c r="C3339" s="212"/>
      <c r="D3339" s="212"/>
      <c r="E3339" s="211"/>
      <c r="F3339" s="257"/>
      <c r="G3339" s="257"/>
    </row>
    <row r="3340" spans="1:9" s="1088" customFormat="1" ht="15" x14ac:dyDescent="0.25">
      <c r="A3340" s="212"/>
      <c r="B3340" s="212"/>
      <c r="C3340" s="212"/>
      <c r="D3340" s="212"/>
      <c r="E3340" s="211"/>
      <c r="F3340" s="257"/>
      <c r="G3340" s="257"/>
    </row>
    <row r="3341" spans="1:9" s="1088" customFormat="1" ht="15" x14ac:dyDescent="0.25">
      <c r="A3341" s="145" t="s">
        <v>160</v>
      </c>
      <c r="B3341" s="1262" t="s">
        <v>161</v>
      </c>
      <c r="C3341" s="1263"/>
      <c r="D3341" s="1263"/>
      <c r="E3341" s="1263"/>
      <c r="F3341" s="1264"/>
      <c r="G3341" s="146" t="s">
        <v>2</v>
      </c>
    </row>
    <row r="3342" spans="1:9" s="1088" customFormat="1" ht="39" customHeight="1" x14ac:dyDescent="0.25">
      <c r="A3342" s="1050">
        <f>'FORMATO PROPUESTA ECONÓMICA'!A96</f>
        <v>9.1</v>
      </c>
      <c r="B3342" s="1344" t="str">
        <f>'FORMATO PROPUESTA ECONÓMICA'!B95</f>
        <v xml:space="preserve">SUMINISTRO, INSTALACION Y PUESTA EN MARCHA DE MACROMEDIDORES ELECTROMAGNETICOS INCLUYE : TORNILLERIA, EMPAQUES Y  ACCESORIOS COMPLEMENTARIOS </v>
      </c>
      <c r="C3342" s="1345"/>
      <c r="D3342" s="1345"/>
      <c r="E3342" s="1345"/>
      <c r="F3342" s="1346"/>
      <c r="G3342" s="187" t="str">
        <f>'FORMATO PROPUESTA ECONÓMICA'!C96</f>
        <v>und</v>
      </c>
    </row>
    <row r="3343" spans="1:9" s="1088" customFormat="1" ht="14.25" x14ac:dyDescent="0.2">
      <c r="A3343" s="209"/>
      <c r="B3343" s="210"/>
      <c r="C3343" s="211"/>
      <c r="D3343" s="212"/>
      <c r="E3343" s="213"/>
      <c r="F3343" s="214"/>
      <c r="G3343" s="215"/>
    </row>
    <row r="3344" spans="1:9" s="1088" customFormat="1" ht="15" x14ac:dyDescent="0.25">
      <c r="A3344" s="216" t="s">
        <v>115</v>
      </c>
      <c r="B3344" s="212"/>
      <c r="C3344" s="211"/>
      <c r="D3344" s="212"/>
      <c r="E3344" s="213"/>
      <c r="F3344" s="214"/>
      <c r="G3344" s="215"/>
    </row>
    <row r="3345" spans="1:9" s="1088" customFormat="1" ht="14.25" x14ac:dyDescent="0.2">
      <c r="A3345" s="209"/>
      <c r="B3345" s="212"/>
      <c r="C3345" s="211"/>
      <c r="D3345" s="212"/>
      <c r="E3345" s="213"/>
      <c r="F3345" s="214"/>
      <c r="G3345" s="215"/>
    </row>
    <row r="3346" spans="1:9" s="1088" customFormat="1" ht="15" x14ac:dyDescent="0.25">
      <c r="A3346" s="1075" t="s">
        <v>116</v>
      </c>
      <c r="B3346" s="1076"/>
      <c r="C3346" s="217" t="s">
        <v>117</v>
      </c>
      <c r="D3346" s="1075" t="s">
        <v>118</v>
      </c>
      <c r="E3346" s="218" t="s">
        <v>39</v>
      </c>
      <c r="F3346" s="1075" t="s">
        <v>119</v>
      </c>
      <c r="G3346" s="307" t="s">
        <v>120</v>
      </c>
    </row>
    <row r="3347" spans="1:9" s="1088" customFormat="1" ht="128.25" customHeight="1" x14ac:dyDescent="0.2">
      <c r="A3347" s="1308" t="str">
        <f>'MACRO MEDIDOR LA LUCILA'!B4</f>
        <v>Suministro, transporte e instalacion de tuberia tuberia en acero al carbono 12" DN300, debe incluir todos los accesorios(curvas, union flexible, soldadura, bridas en acero tropicalizadas, tornilleria, empaque) que sean necesarios para los equipos a instalar según planos adjuntos.</v>
      </c>
      <c r="B3347" s="1343"/>
      <c r="C3347" s="225" t="str">
        <f>'MACRO MEDIDOR LA LUCILA'!D4</f>
        <v>GLB</v>
      </c>
      <c r="D3347" s="1047">
        <f>'MACRO MEDIDOR LA LUCILA'!F4</f>
        <v>30201783</v>
      </c>
      <c r="E3347" s="1046">
        <f>'MACRO MEDIDOR LA LUCILA'!E4</f>
        <v>1</v>
      </c>
      <c r="F3347" s="222"/>
      <c r="G3347" s="228">
        <f>D3347*E3347</f>
        <v>30201783</v>
      </c>
    </row>
    <row r="3348" spans="1:9" s="1088" customFormat="1" ht="75" customHeight="1" x14ac:dyDescent="0.2">
      <c r="A3348" s="1308" t="str">
        <f>'MACRO MEDIDOR LA LUCILA'!B5</f>
        <v>Suministro, transporte e instalacion de un medidor de flujo electromagnetico de electronica compacta de 12" DN300, cuerpo bridado.</v>
      </c>
      <c r="B3348" s="1343"/>
      <c r="C3348" s="225" t="str">
        <f>'MACRO MEDIDOR LA LUCILA'!D5</f>
        <v>UNID.</v>
      </c>
      <c r="D3348" s="1047">
        <f>'MACRO MEDIDOR LA LUCILA'!F5</f>
        <v>26181683.999999996</v>
      </c>
      <c r="E3348" s="1046">
        <f>'MACRO MEDIDOR LA LUCILA'!E5</f>
        <v>1</v>
      </c>
      <c r="F3348" s="227"/>
      <c r="G3348" s="228">
        <f t="shared" ref="G3348:G3356" si="0">D3348*E3348</f>
        <v>26181683.999999996</v>
      </c>
    </row>
    <row r="3349" spans="1:9" s="1088" customFormat="1" ht="107.25" customHeight="1" x14ac:dyDescent="0.2">
      <c r="A3349" s="1308" t="str">
        <f>'MACRO MEDIDOR LA LUCILA'!B6</f>
        <v>Sunistro, transporte e instalacion de válvula Mariposa bridada, PN10, de doble excentricidad, eje seco, bridas perforadas ANSI B16.5 clase150. diametro nominal de 12" DN300.</v>
      </c>
      <c r="B3349" s="1343"/>
      <c r="C3349" s="225" t="str">
        <f>'MACRO MEDIDOR LA LUCILA'!D6</f>
        <v>UNID.</v>
      </c>
      <c r="D3349" s="1047">
        <f>'MACRO MEDIDOR LA LUCILA'!F6</f>
        <v>9886564</v>
      </c>
      <c r="E3349" s="1046">
        <f>'MACRO MEDIDOR LA LUCILA'!E6</f>
        <v>1</v>
      </c>
      <c r="F3349" s="227"/>
      <c r="G3349" s="228">
        <f t="shared" si="0"/>
        <v>9886564</v>
      </c>
    </row>
    <row r="3350" spans="1:9" s="1088" customFormat="1" ht="63" customHeight="1" x14ac:dyDescent="0.2">
      <c r="A3350" s="1252" t="str">
        <f>'MACRO MEDIDOR LA LUCILA'!B7</f>
        <v>Suministro, trasporte e instalacion de actuador electrico trifasico, para valvula mariposa 12" DN300.</v>
      </c>
      <c r="B3350" s="1347"/>
      <c r="C3350" s="225" t="str">
        <f>'MACRO MEDIDOR LA LUCILA'!D7</f>
        <v>UNID.</v>
      </c>
      <c r="D3350" s="1047">
        <f>'MACRO MEDIDOR LA LUCILA'!F7</f>
        <v>14029236</v>
      </c>
      <c r="E3350" s="1046">
        <f>'MACRO MEDIDOR LA LUCILA'!E7</f>
        <v>1</v>
      </c>
      <c r="F3350" s="227"/>
      <c r="G3350" s="228">
        <f t="shared" si="0"/>
        <v>14029236</v>
      </c>
    </row>
    <row r="3351" spans="1:9" s="1088" customFormat="1" ht="75" customHeight="1" x14ac:dyDescent="0.2">
      <c r="A3351" s="1308" t="str">
        <f>'MACRO MEDIDOR LA LUCILA'!B8</f>
        <v>Suministro, transporte e intalacion válvula ventosa de triple efecto, PN10, bridas según ANSI B16.5 clase 150  de 2" DN050.</v>
      </c>
      <c r="B3351" s="1343"/>
      <c r="C3351" s="225" t="str">
        <f>'MACRO MEDIDOR LA LUCILA'!D8</f>
        <v>UNID.</v>
      </c>
      <c r="D3351" s="1047">
        <f>'MACRO MEDIDOR LA LUCILA'!F8</f>
        <v>1340800</v>
      </c>
      <c r="E3351" s="1046">
        <f>'MACRO MEDIDOR LA LUCILA'!E8</f>
        <v>1</v>
      </c>
      <c r="F3351" s="227"/>
      <c r="G3351" s="228">
        <f t="shared" si="0"/>
        <v>1340800</v>
      </c>
    </row>
    <row r="3352" spans="1:9" s="1088" customFormat="1" ht="72.75" customHeight="1" x14ac:dyDescent="0.2">
      <c r="A3352" s="1308" t="str">
        <f>'MACRO MEDIDOR LA LUCILA'!B10</f>
        <v>Construccion de camara en concreto para alojar los elementos de medida hidraulicos para un diametro de tuberia de 12".</v>
      </c>
      <c r="B3352" s="1343"/>
      <c r="C3352" s="225" t="str">
        <f>'MACRO MEDIDOR LA LUCILA'!D10</f>
        <v>GLB</v>
      </c>
      <c r="D3352" s="1048">
        <f>'MACRO MEDIDOR LA LUCILA'!F10</f>
        <v>15820000</v>
      </c>
      <c r="E3352" s="1046">
        <f>'MACRO MEDIDOR LA LUCILA'!E10</f>
        <v>1</v>
      </c>
      <c r="F3352" s="227"/>
      <c r="G3352" s="228">
        <f t="shared" si="0"/>
        <v>15820000</v>
      </c>
    </row>
    <row r="3353" spans="1:9" s="1088" customFormat="1" ht="72" customHeight="1" x14ac:dyDescent="0.2">
      <c r="A3353" s="1308" t="str">
        <f>'MACRO MEDIDOR LA LUCILA'!B12</f>
        <v>Suministro, transporte e instalacion de transmisor de presion para medicion de nivel de tanque elevado. Instalado en tuberia de drenaje, debe incluir manometro y flauta de conexión en acero inoxidable</v>
      </c>
      <c r="B3353" s="1343"/>
      <c r="C3353" s="225" t="str">
        <f>'MACRO MEDIDOR LA LUCILA'!D12</f>
        <v>UNID.</v>
      </c>
      <c r="D3353" s="1048">
        <f>'MACRO MEDIDOR LA LUCILA'!F12</f>
        <v>6500000</v>
      </c>
      <c r="E3353" s="1046">
        <f>'MACRO MEDIDOR LA LUCILA'!E12</f>
        <v>1</v>
      </c>
      <c r="F3353" s="227"/>
      <c r="G3353" s="228">
        <f t="shared" si="0"/>
        <v>6500000</v>
      </c>
    </row>
    <row r="3354" spans="1:9" s="1088" customFormat="1" ht="54.75" customHeight="1" x14ac:dyDescent="0.2">
      <c r="A3354" s="1308" t="str">
        <f>'MACRO MEDIDOR LA LUCILA'!B13</f>
        <v xml:space="preserve">Suministro e instalacion de tablero de control tipo intemperie en acero inoxidable. </v>
      </c>
      <c r="B3354" s="1343"/>
      <c r="C3354" s="225" t="str">
        <f>'MACRO MEDIDOR LA LUCILA'!D13</f>
        <v>UNID.</v>
      </c>
      <c r="D3354" s="1048">
        <f>'MACRO MEDIDOR LA LUCILA'!F13</f>
        <v>31600000</v>
      </c>
      <c r="E3354" s="1046">
        <f>'MACRO MEDIDOR LA LUCILA'!E13</f>
        <v>1</v>
      </c>
      <c r="F3354" s="227"/>
      <c r="G3354" s="228">
        <f t="shared" si="0"/>
        <v>31600000</v>
      </c>
      <c r="I3354" s="1091"/>
    </row>
    <row r="3355" spans="1:9" s="1088" customFormat="1" ht="60.75" customHeight="1" x14ac:dyDescent="0.2">
      <c r="A3355" s="1252" t="str">
        <f>'MACRO MEDIDOR LA LUCILA'!B14</f>
        <v>Suministro, transporte  e instalcion de las obras electricas necesarias descritas en el numeral 5.1.11 items 9 y 10 para el correcto funcionamiento de los equipos y de las inatalciones electricas de la estacion</v>
      </c>
      <c r="B3355" s="1347"/>
      <c r="C3355" s="225" t="str">
        <f>'MACRO MEDIDOR LA LUCILA'!D14</f>
        <v>GLB</v>
      </c>
      <c r="D3355" s="1048">
        <f>'MACRO MEDIDOR LA LUCILA'!F14</f>
        <v>37654390</v>
      </c>
      <c r="E3355" s="1046">
        <f>'MACRO MEDIDOR LA LUCILA'!E14</f>
        <v>1</v>
      </c>
      <c r="F3355" s="227"/>
      <c r="G3355" s="228">
        <f t="shared" si="0"/>
        <v>37654390</v>
      </c>
    </row>
    <row r="3356" spans="1:9" s="1088" customFormat="1" ht="14.25" customHeight="1" x14ac:dyDescent="0.2">
      <c r="A3356" s="1254" t="str">
        <f>'MACRO MEDIDOR LA LUCILA'!B15</f>
        <v>Suministro e instalacion de enlace de comunicaciones.</v>
      </c>
      <c r="B3356" s="1273"/>
      <c r="C3356" s="225" t="str">
        <f>'MACRO MEDIDOR LA LUCILA'!D15</f>
        <v>GLB</v>
      </c>
      <c r="D3356" s="1048">
        <f>'MACRO MEDIDOR LA LUCILA'!F15</f>
        <v>7398284</v>
      </c>
      <c r="E3356" s="1046">
        <f>'MACRO MEDIDOR LA LUCILA'!E15</f>
        <v>1</v>
      </c>
      <c r="F3356" s="227"/>
      <c r="G3356" s="228">
        <f t="shared" si="0"/>
        <v>7398284</v>
      </c>
    </row>
    <row r="3357" spans="1:9" s="1088" customFormat="1" ht="14.25" x14ac:dyDescent="0.2">
      <c r="A3357" s="1069"/>
      <c r="B3357" s="1070"/>
      <c r="C3357" s="230"/>
      <c r="D3357" s="231"/>
      <c r="E3357" s="232"/>
      <c r="F3357" s="233"/>
      <c r="G3357" s="228">
        <f>D3357*E3357</f>
        <v>0</v>
      </c>
    </row>
    <row r="3358" spans="1:9" s="1088" customFormat="1" ht="15" x14ac:dyDescent="0.25">
      <c r="A3358" s="1073"/>
      <c r="B3358" s="210"/>
      <c r="C3358" s="211"/>
      <c r="D3358" s="212"/>
      <c r="E3358" s="212"/>
      <c r="F3358" s="234" t="s">
        <v>121</v>
      </c>
      <c r="G3358" s="231">
        <f>+SUM(G3347:G3357)</f>
        <v>180612741</v>
      </c>
    </row>
    <row r="3359" spans="1:9" s="1088" customFormat="1" ht="14.25" x14ac:dyDescent="0.2">
      <c r="A3359" s="209"/>
      <c r="B3359" s="212"/>
      <c r="C3359" s="211" t="s">
        <v>123</v>
      </c>
      <c r="D3359" s="212"/>
      <c r="E3359" s="213"/>
      <c r="F3359" s="214"/>
      <c r="G3359" s="215"/>
    </row>
    <row r="3360" spans="1:9" s="1088" customFormat="1" ht="15" x14ac:dyDescent="0.25">
      <c r="A3360" s="216" t="s">
        <v>122</v>
      </c>
      <c r="B3360" s="212"/>
      <c r="C3360" s="211" t="s">
        <v>123</v>
      </c>
      <c r="D3360" s="212"/>
      <c r="E3360" s="213"/>
      <c r="F3360" s="214"/>
      <c r="G3360" s="215"/>
    </row>
    <row r="3361" spans="1:9" s="1088" customFormat="1" ht="14.25" x14ac:dyDescent="0.2">
      <c r="A3361" s="209"/>
      <c r="B3361" s="212"/>
      <c r="C3361" s="211"/>
      <c r="D3361" s="212"/>
      <c r="E3361" s="213"/>
      <c r="F3361" s="214"/>
      <c r="G3361" s="215"/>
    </row>
    <row r="3362" spans="1:9" s="1088" customFormat="1" ht="15" x14ac:dyDescent="0.25">
      <c r="A3362" s="1071" t="s">
        <v>116</v>
      </c>
      <c r="B3362" s="1072"/>
      <c r="C3362" s="235" t="s">
        <v>117</v>
      </c>
      <c r="D3362" s="236" t="s">
        <v>124</v>
      </c>
      <c r="E3362" s="236" t="s">
        <v>125</v>
      </c>
      <c r="F3362" s="237" t="s">
        <v>126</v>
      </c>
      <c r="G3362" s="238" t="s">
        <v>120</v>
      </c>
    </row>
    <row r="3363" spans="1:9" s="1088" customFormat="1" ht="28.5" x14ac:dyDescent="0.2">
      <c r="A3363" s="1066" t="s">
        <v>127</v>
      </c>
      <c r="B3363" s="1067"/>
      <c r="C3363" s="239" t="s">
        <v>128</v>
      </c>
      <c r="D3363" s="240"/>
      <c r="E3363" s="241"/>
      <c r="F3363" s="222"/>
      <c r="G3363" s="242">
        <f>G3375*0.05</f>
        <v>0</v>
      </c>
    </row>
    <row r="3364" spans="1:9" s="1088" customFormat="1" ht="14.25" x14ac:dyDescent="0.2">
      <c r="A3364" s="1073"/>
      <c r="B3364" s="1074"/>
      <c r="C3364" s="243"/>
      <c r="D3364" s="221"/>
      <c r="E3364" s="244"/>
      <c r="F3364" s="222"/>
      <c r="G3364" s="224"/>
    </row>
    <row r="3365" spans="1:9" s="1088" customFormat="1" ht="14.25" x14ac:dyDescent="0.2">
      <c r="A3365" s="249"/>
      <c r="B3365" s="250"/>
      <c r="C3365" s="251"/>
      <c r="D3365" s="252"/>
      <c r="E3365" s="253"/>
      <c r="F3365" s="254"/>
      <c r="G3365" s="255"/>
    </row>
    <row r="3366" spans="1:9" s="1088" customFormat="1" ht="15" x14ac:dyDescent="0.25">
      <c r="A3366" s="209"/>
      <c r="B3366" s="214"/>
      <c r="C3366" s="256"/>
      <c r="D3366" s="214"/>
      <c r="E3366" s="212"/>
      <c r="F3366" s="257" t="s">
        <v>121</v>
      </c>
      <c r="G3366" s="258">
        <f>+SUM(G3363:G3365)</f>
        <v>0</v>
      </c>
    </row>
    <row r="3367" spans="1:9" s="1088" customFormat="1" ht="14.25" x14ac:dyDescent="0.2">
      <c r="A3367" s="209"/>
      <c r="B3367" s="212"/>
      <c r="C3367" s="211"/>
      <c r="D3367" s="212"/>
      <c r="E3367" s="213"/>
      <c r="F3367" s="212"/>
      <c r="G3367" s="215"/>
    </row>
    <row r="3368" spans="1:9" s="1088" customFormat="1" ht="15" x14ac:dyDescent="0.25">
      <c r="A3368" s="216" t="s">
        <v>130</v>
      </c>
      <c r="B3368" s="212"/>
      <c r="C3368" s="211"/>
      <c r="D3368" s="212"/>
      <c r="E3368" s="213"/>
      <c r="F3368" s="214"/>
      <c r="G3368" s="215"/>
    </row>
    <row r="3369" spans="1:9" s="1088" customFormat="1" ht="14.25" x14ac:dyDescent="0.2">
      <c r="A3369" s="209"/>
      <c r="B3369" s="212"/>
      <c r="C3369" s="211"/>
      <c r="D3369" s="212"/>
      <c r="E3369" s="213"/>
      <c r="F3369" s="214"/>
      <c r="G3369" s="215"/>
    </row>
    <row r="3370" spans="1:9" s="1088" customFormat="1" ht="15" x14ac:dyDescent="0.25">
      <c r="A3370" s="1071" t="s">
        <v>116</v>
      </c>
      <c r="B3370" s="1072"/>
      <c r="C3370" s="236" t="s">
        <v>131</v>
      </c>
      <c r="D3370" s="235" t="s">
        <v>132</v>
      </c>
      <c r="E3370" s="236" t="s">
        <v>133</v>
      </c>
      <c r="F3370" s="237" t="s">
        <v>126</v>
      </c>
      <c r="G3370" s="238" t="s">
        <v>134</v>
      </c>
    </row>
    <row r="3371" spans="1:9" s="1088" customFormat="1" ht="14.25" x14ac:dyDescent="0.2">
      <c r="A3371" s="209" t="s">
        <v>10</v>
      </c>
      <c r="B3371" s="259"/>
      <c r="C3371" s="260">
        <f>+M2*1</f>
        <v>22981.8</v>
      </c>
      <c r="D3371" s="261">
        <f>N2</f>
        <v>1.76</v>
      </c>
      <c r="E3371" s="276">
        <f>C3371*D3371</f>
        <v>40447.968000000001</v>
      </c>
      <c r="F3371" s="222"/>
      <c r="G3371" s="224">
        <f>F3371*E3371</f>
        <v>0</v>
      </c>
      <c r="I3371" s="1092"/>
    </row>
    <row r="3372" spans="1:9" s="1088" customFormat="1" ht="14.25" x14ac:dyDescent="0.2">
      <c r="A3372" s="209" t="s">
        <v>140</v>
      </c>
      <c r="B3372" s="259"/>
      <c r="C3372" s="260">
        <f>+M3</f>
        <v>40000</v>
      </c>
      <c r="D3372" s="261">
        <f>+N3</f>
        <v>1.76</v>
      </c>
      <c r="E3372" s="276">
        <f>C3372*D3372</f>
        <v>70400</v>
      </c>
      <c r="F3372" s="222"/>
      <c r="G3372" s="224">
        <f>F3372*E3372</f>
        <v>0</v>
      </c>
    </row>
    <row r="3373" spans="1:9" s="1088" customFormat="1" ht="14.25" x14ac:dyDescent="0.2">
      <c r="A3373" s="209"/>
      <c r="B3373" s="245"/>
      <c r="C3373" s="265"/>
      <c r="D3373" s="246"/>
      <c r="E3373" s="265"/>
      <c r="F3373" s="266"/>
      <c r="G3373" s="267"/>
    </row>
    <row r="3374" spans="1:9" s="1088" customFormat="1" ht="14.25" x14ac:dyDescent="0.2">
      <c r="A3374" s="249"/>
      <c r="B3374" s="250"/>
      <c r="C3374" s="252"/>
      <c r="D3374" s="251"/>
      <c r="E3374" s="252"/>
      <c r="F3374" s="254"/>
      <c r="G3374" s="268"/>
    </row>
    <row r="3375" spans="1:9" s="1088" customFormat="1" ht="15" x14ac:dyDescent="0.25">
      <c r="A3375" s="209"/>
      <c r="B3375" s="212"/>
      <c r="C3375" s="211"/>
      <c r="D3375" s="212"/>
      <c r="E3375" s="269"/>
      <c r="F3375" s="269" t="s">
        <v>121</v>
      </c>
      <c r="G3375" s="270">
        <f>+SUM(G3371:G3374)</f>
        <v>0</v>
      </c>
    </row>
    <row r="3376" spans="1:9" s="1088" customFormat="1" ht="15" x14ac:dyDescent="0.25">
      <c r="A3376" s="209"/>
      <c r="B3376" s="212"/>
      <c r="C3376" s="211"/>
      <c r="D3376" s="212"/>
      <c r="E3376" s="257"/>
      <c r="F3376" s="257"/>
      <c r="G3376" s="271"/>
    </row>
    <row r="3377" spans="1:9" s="1088" customFormat="1" ht="15" x14ac:dyDescent="0.25">
      <c r="A3377" s="216" t="s">
        <v>135</v>
      </c>
      <c r="B3377" s="212"/>
      <c r="C3377" s="211"/>
      <c r="D3377" s="212"/>
      <c r="E3377" s="213"/>
      <c r="F3377" s="214"/>
      <c r="G3377" s="215"/>
    </row>
    <row r="3378" spans="1:9" s="1088" customFormat="1" ht="14.25" x14ac:dyDescent="0.2">
      <c r="A3378" s="209"/>
      <c r="B3378" s="212"/>
      <c r="C3378" s="211"/>
      <c r="D3378" s="212"/>
      <c r="E3378" s="213"/>
      <c r="F3378" s="214"/>
      <c r="G3378" s="215"/>
    </row>
    <row r="3379" spans="1:9" s="1088" customFormat="1" ht="15" x14ac:dyDescent="0.25">
      <c r="A3379" s="1071" t="s">
        <v>116</v>
      </c>
      <c r="B3379" s="1072"/>
      <c r="C3379" s="236" t="s">
        <v>117</v>
      </c>
      <c r="D3379" s="235" t="s">
        <v>136</v>
      </c>
      <c r="E3379" s="236" t="s">
        <v>124</v>
      </c>
      <c r="F3379" s="237" t="s">
        <v>126</v>
      </c>
      <c r="G3379" s="238" t="s">
        <v>134</v>
      </c>
    </row>
    <row r="3380" spans="1:9" s="1088" customFormat="1" ht="14.25" x14ac:dyDescent="0.2">
      <c r="A3380" s="209" t="s">
        <v>452</v>
      </c>
      <c r="B3380" s="286"/>
      <c r="C3380" s="287" t="s">
        <v>128</v>
      </c>
      <c r="D3380" s="261"/>
      <c r="E3380" s="276">
        <v>165000</v>
      </c>
      <c r="F3380" s="222"/>
      <c r="G3380" s="224">
        <f>F3380*E3380</f>
        <v>0</v>
      </c>
    </row>
    <row r="3381" spans="1:9" s="1088" customFormat="1" ht="14.25" x14ac:dyDescent="0.2">
      <c r="A3381" s="209"/>
      <c r="B3381" s="275"/>
      <c r="C3381" s="260"/>
      <c r="D3381" s="261"/>
      <c r="E3381" s="276"/>
      <c r="F3381" s="222"/>
      <c r="G3381" s="224"/>
    </row>
    <row r="3382" spans="1:9" s="1088" customFormat="1" ht="14.25" x14ac:dyDescent="0.2">
      <c r="A3382" s="249"/>
      <c r="B3382" s="250"/>
      <c r="C3382" s="252"/>
      <c r="D3382" s="251"/>
      <c r="E3382" s="252"/>
      <c r="F3382" s="254"/>
      <c r="G3382" s="268"/>
    </row>
    <row r="3383" spans="1:9" s="1088" customFormat="1" ht="15" x14ac:dyDescent="0.25">
      <c r="A3383" s="209"/>
      <c r="B3383" s="212"/>
      <c r="C3383" s="211"/>
      <c r="D3383" s="212"/>
      <c r="E3383" s="269"/>
      <c r="F3383" s="269" t="s">
        <v>121</v>
      </c>
      <c r="G3383" s="270">
        <f>+SUM(G3380:G3382)</f>
        <v>0</v>
      </c>
    </row>
    <row r="3384" spans="1:9" s="1088" customFormat="1" ht="14.25" x14ac:dyDescent="0.2">
      <c r="A3384" s="209"/>
      <c r="B3384" s="212"/>
      <c r="C3384" s="211"/>
      <c r="D3384" s="212"/>
      <c r="E3384" s="213"/>
      <c r="F3384" s="214"/>
      <c r="G3384" s="271"/>
    </row>
    <row r="3385" spans="1:9" s="1088" customFormat="1" ht="15" x14ac:dyDescent="0.25">
      <c r="A3385" s="277"/>
      <c r="B3385" s="278"/>
      <c r="C3385" s="278"/>
      <c r="D3385" s="278"/>
      <c r="E3385" s="279"/>
      <c r="F3385" s="280" t="s">
        <v>137</v>
      </c>
      <c r="G3385" s="283">
        <f>+ROUND(G3358+G3366+G3375+G3383,0)</f>
        <v>180612741</v>
      </c>
    </row>
    <row r="3386" spans="1:9" s="1088" customFormat="1" ht="15" x14ac:dyDescent="0.25">
      <c r="A3386" s="212"/>
      <c r="B3386" s="212"/>
      <c r="C3386" s="212"/>
      <c r="D3386" s="212"/>
      <c r="E3386" s="211"/>
      <c r="F3386" s="257"/>
      <c r="G3386" s="257"/>
    </row>
    <row r="3387" spans="1:9" s="1088" customFormat="1" ht="15" x14ac:dyDescent="0.25">
      <c r="A3387" s="212"/>
      <c r="B3387" s="212"/>
      <c r="C3387" s="212"/>
      <c r="D3387" s="212"/>
      <c r="E3387" s="211"/>
      <c r="F3387" s="257"/>
      <c r="G3387" s="257"/>
    </row>
    <row r="3388" spans="1:9" s="1088" customFormat="1" ht="15" x14ac:dyDescent="0.25">
      <c r="A3388" s="145" t="s">
        <v>160</v>
      </c>
      <c r="B3388" s="1262" t="s">
        <v>161</v>
      </c>
      <c r="C3388" s="1263"/>
      <c r="D3388" s="1263"/>
      <c r="E3388" s="1263"/>
      <c r="F3388" s="1264"/>
      <c r="G3388" s="146" t="s">
        <v>2</v>
      </c>
    </row>
    <row r="3389" spans="1:9" s="1088" customFormat="1" ht="45" customHeight="1" x14ac:dyDescent="0.25">
      <c r="A3389" s="1050" t="e">
        <f>'FORMATO PROPUESTA ECONÓMICA'!#REF!</f>
        <v>#REF!</v>
      </c>
      <c r="B3389" s="1344" t="str">
        <f>'FORMATO PROPUESTA ECONÓMICA'!B95</f>
        <v xml:space="preserve">SUMINISTRO, INSTALACION Y PUESTA EN MARCHA DE MACROMEDIDORES ELECTROMAGNETICOS INCLUYE : TORNILLERIA, EMPAQUES Y  ACCESORIOS COMPLEMENTARIOS </v>
      </c>
      <c r="C3389" s="1345"/>
      <c r="D3389" s="1345"/>
      <c r="E3389" s="1345"/>
      <c r="F3389" s="1346"/>
      <c r="G3389" s="187" t="e">
        <f>'FORMATO PROPUESTA ECONÓMICA'!#REF!</f>
        <v>#REF!</v>
      </c>
    </row>
    <row r="3390" spans="1:9" s="1088" customFormat="1" ht="14.25" x14ac:dyDescent="0.2">
      <c r="A3390" s="209"/>
      <c r="B3390" s="210"/>
      <c r="C3390" s="211"/>
      <c r="D3390" s="212"/>
      <c r="E3390" s="213"/>
      <c r="F3390" s="214"/>
      <c r="G3390" s="215"/>
    </row>
    <row r="3391" spans="1:9" s="1088" customFormat="1" ht="15" x14ac:dyDescent="0.25">
      <c r="A3391" s="216" t="s">
        <v>115</v>
      </c>
      <c r="B3391" s="212"/>
      <c r="C3391" s="211"/>
      <c r="D3391" s="212"/>
      <c r="E3391" s="213"/>
      <c r="F3391" s="214"/>
      <c r="G3391" s="215"/>
      <c r="I3391" s="1089"/>
    </row>
    <row r="3392" spans="1:9" s="1088" customFormat="1" ht="14.25" x14ac:dyDescent="0.2">
      <c r="A3392" s="209"/>
      <c r="B3392" s="212"/>
      <c r="C3392" s="211"/>
      <c r="D3392" s="212"/>
      <c r="E3392" s="213"/>
      <c r="F3392" s="214"/>
      <c r="G3392" s="215"/>
      <c r="I3392" s="1089"/>
    </row>
    <row r="3393" spans="1:10" s="1088" customFormat="1" ht="15" x14ac:dyDescent="0.25">
      <c r="A3393" s="1075" t="s">
        <v>116</v>
      </c>
      <c r="B3393" s="1076"/>
      <c r="C3393" s="217" t="s">
        <v>117</v>
      </c>
      <c r="D3393" s="1075" t="s">
        <v>118</v>
      </c>
      <c r="E3393" s="218" t="s">
        <v>39</v>
      </c>
      <c r="F3393" s="1075" t="s">
        <v>119</v>
      </c>
      <c r="G3393" s="219" t="s">
        <v>120</v>
      </c>
      <c r="I3393" s="1089"/>
    </row>
    <row r="3394" spans="1:10" s="1088" customFormat="1" ht="54" customHeight="1" x14ac:dyDescent="0.2">
      <c r="A3394" s="1308" t="str">
        <f>'MACROMEDIDOR CASANOVA'!B4</f>
        <v>Suministro, transporte e instalacion de tuberia tuberia en acero al carbono 16" DN400, debe incluir todos los accesorios(curvas, union flexible, soldadura, bridas en acero tropicalizadas, tornilleria, empaque) que sean necesarios para los equipos a instalar según planos adjuntos.</v>
      </c>
      <c r="B3394" s="1343"/>
      <c r="C3394" s="225" t="str">
        <f>'MACROMEDIDOR CASANOVA'!D4</f>
        <v>GLB</v>
      </c>
      <c r="D3394" s="729">
        <f>'MACROMEDIDOR CASANOVA'!F4</f>
        <v>43948123</v>
      </c>
      <c r="E3394" s="1049">
        <f>'MACROMEDIDOR CASANOVA'!E4</f>
        <v>1</v>
      </c>
      <c r="F3394" s="222"/>
      <c r="G3394" s="228">
        <f>D3394*E3394</f>
        <v>43948123</v>
      </c>
      <c r="I3394" s="1089"/>
    </row>
    <row r="3395" spans="1:10" s="1088" customFormat="1" ht="62.25" customHeight="1" x14ac:dyDescent="0.2">
      <c r="A3395" s="1308" t="str">
        <f>'MACROMEDIDOR CASANOVA'!B5</f>
        <v>Suministro, transporte e instalacion de un medidor de flujo electromagnetico de electronica compacta de 16" DN400, cuerpo bridado.</v>
      </c>
      <c r="B3395" s="1343"/>
      <c r="C3395" s="225" t="str">
        <f>'MACROMEDIDOR CASANOVA'!D5</f>
        <v>UNID.</v>
      </c>
      <c r="D3395" s="729">
        <f>'MACROMEDIDOR CASANOVA'!F5</f>
        <v>36122517</v>
      </c>
      <c r="E3395" s="1049">
        <f>'MACROMEDIDOR CASANOVA'!E5</f>
        <v>1</v>
      </c>
      <c r="F3395" s="227"/>
      <c r="G3395" s="228">
        <f t="shared" ref="G3395:G3402" si="1">D3395*E3395</f>
        <v>36122517</v>
      </c>
      <c r="I3395" s="1089"/>
    </row>
    <row r="3396" spans="1:10" s="1088" customFormat="1" ht="48.75" customHeight="1" x14ac:dyDescent="0.2">
      <c r="A3396" s="1308" t="str">
        <f>'MACROMEDIDOR CASANOVA'!B6</f>
        <v>Sunistro, transporte e instalacion de válvula Mariposa bridada, PN10, de doble excentricidad, eje seco, bridas perforadas ANSI B16.5 clase150. diametro nominal de 16" DN400.</v>
      </c>
      <c r="B3396" s="1343"/>
      <c r="C3396" s="225" t="str">
        <f>'MACROMEDIDOR CASANOVA'!D6</f>
        <v>UNID.</v>
      </c>
      <c r="D3396" s="729">
        <f>'MACROMEDIDOR CASANOVA'!F6</f>
        <v>14767151</v>
      </c>
      <c r="E3396" s="1049">
        <f>'MACROMEDIDOR CASANOVA'!E6</f>
        <v>1</v>
      </c>
      <c r="F3396" s="227"/>
      <c r="G3396" s="228">
        <f t="shared" si="1"/>
        <v>14767151</v>
      </c>
      <c r="I3396" s="1089"/>
      <c r="J3396" s="1089"/>
    </row>
    <row r="3397" spans="1:10" s="1088" customFormat="1" ht="51" customHeight="1" x14ac:dyDescent="0.2">
      <c r="A3397" s="1308" t="str">
        <f>'MACROMEDIDOR CASANOVA'!B7</f>
        <v>Suministro, trasporte e instalacion de actuador electrico trifasico, para valvula mariposa 16" DN400.</v>
      </c>
      <c r="B3397" s="1343"/>
      <c r="C3397" s="225" t="str">
        <f>'MACROMEDIDOR CASANOVA'!D7</f>
        <v>UNID.</v>
      </c>
      <c r="D3397" s="729">
        <f>'MACROMEDIDOR CASANOVA'!F7</f>
        <v>14889716</v>
      </c>
      <c r="E3397" s="1049">
        <f>'MACROMEDIDOR CASANOVA'!E7</f>
        <v>1</v>
      </c>
      <c r="F3397" s="227"/>
      <c r="G3397" s="228">
        <f t="shared" si="1"/>
        <v>14889716</v>
      </c>
      <c r="I3397" s="1089"/>
      <c r="J3397" s="1089"/>
    </row>
    <row r="3398" spans="1:10" s="1088" customFormat="1" ht="28.5" customHeight="1" x14ac:dyDescent="0.2">
      <c r="A3398" s="1308" t="str">
        <f>'MACROMEDIDOR CASANOVA'!B8</f>
        <v>Suministro, transporte e intalacion válvula ventosa de triple efecto, PN10, bridas según ANSI B16.5 clase 150  de 2" DN050.</v>
      </c>
      <c r="B3398" s="1343"/>
      <c r="C3398" s="225" t="str">
        <f>'MACROMEDIDOR CASANOVA'!D8</f>
        <v>UNID.</v>
      </c>
      <c r="D3398" s="729">
        <f>'MACROMEDIDOR CASANOVA'!F8</f>
        <v>1340800</v>
      </c>
      <c r="E3398" s="1049">
        <f>'MACROMEDIDOR CASANOVA'!E8</f>
        <v>1</v>
      </c>
      <c r="F3398" s="227"/>
      <c r="G3398" s="228">
        <f t="shared" si="1"/>
        <v>1340800</v>
      </c>
      <c r="I3398" s="1089"/>
      <c r="J3398" s="1089"/>
    </row>
    <row r="3399" spans="1:10" s="1088" customFormat="1" ht="46.5" customHeight="1" x14ac:dyDescent="0.2">
      <c r="A3399" s="1252" t="str">
        <f>'MACROMEDIDOR CASANOVA'!B10</f>
        <v>Integracion al sistema de control actual del tanque. Debe incluir protecciones, borneras, marcacion, cableado en tablero y modificacion del programa Unitypro con las nuevas variables</v>
      </c>
      <c r="B3399" s="1253"/>
      <c r="C3399" s="225" t="str">
        <f>'MACROMEDIDOR CASANOVA'!D10</f>
        <v>GLB</v>
      </c>
      <c r="D3399" s="729">
        <f>'MACROMEDIDOR CASANOVA'!F10</f>
        <v>5000000</v>
      </c>
      <c r="E3399" s="1049">
        <f>'MACROMEDIDOR CASANOVA'!E10</f>
        <v>1</v>
      </c>
      <c r="F3399" s="227"/>
      <c r="G3399" s="228">
        <f t="shared" si="1"/>
        <v>5000000</v>
      </c>
      <c r="I3399" s="1089"/>
      <c r="J3399" s="1089"/>
    </row>
    <row r="3400" spans="1:10" s="1088" customFormat="1" ht="82.5" customHeight="1" x14ac:dyDescent="0.2">
      <c r="A3400" s="1252" t="str">
        <f>'MACROMEDIDOR CASANOVA'!B11</f>
        <v>Suministro, transporte  e instalcion de las obras electricas necesarias descritas en el numeral 5.1.8 item 7 para el correcto funcionamiento de los equipos y de las inatalciones electricas de la estacion</v>
      </c>
      <c r="B3400" s="1253"/>
      <c r="C3400" s="225" t="str">
        <f>'MACROMEDIDOR CASANOVA'!D11</f>
        <v>GLB</v>
      </c>
      <c r="D3400" s="729">
        <f>'MACROMEDIDOR CASANOVA'!F11</f>
        <v>3756098</v>
      </c>
      <c r="E3400" s="1049">
        <f>'MACROMEDIDOR CASANOVA'!E11</f>
        <v>1</v>
      </c>
      <c r="F3400" s="227"/>
      <c r="G3400" s="228">
        <f t="shared" si="1"/>
        <v>3756098</v>
      </c>
      <c r="I3400" s="1089"/>
      <c r="J3400" s="1089"/>
    </row>
    <row r="3401" spans="1:10" s="1088" customFormat="1" ht="14.25" customHeight="1" x14ac:dyDescent="0.2">
      <c r="A3401" s="1252"/>
      <c r="B3401" s="1253"/>
      <c r="C3401" s="225"/>
      <c r="D3401" s="91"/>
      <c r="E3401" s="225"/>
      <c r="F3401" s="227"/>
      <c r="G3401" s="228">
        <f t="shared" si="1"/>
        <v>0</v>
      </c>
      <c r="I3401" s="1089"/>
      <c r="J3401" s="1089"/>
    </row>
    <row r="3402" spans="1:10" s="1088" customFormat="1" ht="14.25" customHeight="1" x14ac:dyDescent="0.2">
      <c r="A3402" s="1252"/>
      <c r="B3402" s="1253"/>
      <c r="C3402" s="225"/>
      <c r="D3402" s="91"/>
      <c r="E3402" s="225"/>
      <c r="F3402" s="227"/>
      <c r="G3402" s="228">
        <f t="shared" si="1"/>
        <v>0</v>
      </c>
      <c r="I3402" s="1089"/>
      <c r="J3402" s="1089"/>
    </row>
    <row r="3403" spans="1:10" s="1088" customFormat="1" ht="14.25" x14ac:dyDescent="0.2">
      <c r="A3403" s="1252"/>
      <c r="B3403" s="1253"/>
      <c r="C3403" s="225"/>
      <c r="D3403" s="221"/>
      <c r="E3403" s="225"/>
      <c r="F3403" s="227"/>
      <c r="G3403" s="228">
        <f>D3403*E3403</f>
        <v>0</v>
      </c>
      <c r="I3403" s="1089"/>
      <c r="J3403" s="1089"/>
    </row>
    <row r="3404" spans="1:10" s="1088" customFormat="1" ht="14.25" x14ac:dyDescent="0.2">
      <c r="A3404" s="1069"/>
      <c r="B3404" s="1070"/>
      <c r="C3404" s="230"/>
      <c r="D3404" s="231"/>
      <c r="E3404" s="232"/>
      <c r="F3404" s="233"/>
      <c r="G3404" s="228">
        <f>D3404*E3404</f>
        <v>0</v>
      </c>
      <c r="J3404" s="1089"/>
    </row>
    <row r="3405" spans="1:10" s="1088" customFormat="1" ht="15" x14ac:dyDescent="0.25">
      <c r="A3405" s="1073"/>
      <c r="B3405" s="210"/>
      <c r="C3405" s="211"/>
      <c r="D3405" s="212"/>
      <c r="E3405" s="212"/>
      <c r="F3405" s="234" t="s">
        <v>121</v>
      </c>
      <c r="G3405" s="231">
        <f>+SUM(G3394:G3404)</f>
        <v>119824405</v>
      </c>
      <c r="I3405" s="1089"/>
      <c r="J3405" s="1089"/>
    </row>
    <row r="3406" spans="1:10" s="1088" customFormat="1" ht="14.25" x14ac:dyDescent="0.2">
      <c r="A3406" s="209"/>
      <c r="B3406" s="212"/>
      <c r="C3406" s="211" t="s">
        <v>123</v>
      </c>
      <c r="D3406" s="212"/>
      <c r="E3406" s="213"/>
      <c r="F3406" s="214"/>
      <c r="G3406" s="215"/>
      <c r="I3406" s="1089"/>
    </row>
    <row r="3407" spans="1:10" s="1088" customFormat="1" ht="15" x14ac:dyDescent="0.25">
      <c r="A3407" s="216" t="s">
        <v>122</v>
      </c>
      <c r="B3407" s="212"/>
      <c r="C3407" s="211" t="s">
        <v>123</v>
      </c>
      <c r="D3407" s="212"/>
      <c r="E3407" s="213"/>
      <c r="F3407" s="214"/>
      <c r="G3407" s="215"/>
    </row>
    <row r="3408" spans="1:10" s="1088" customFormat="1" ht="14.25" x14ac:dyDescent="0.2">
      <c r="A3408" s="209"/>
      <c r="B3408" s="212"/>
      <c r="C3408" s="211"/>
      <c r="D3408" s="212"/>
      <c r="E3408" s="213"/>
      <c r="F3408" s="214"/>
      <c r="G3408" s="215"/>
      <c r="I3408" s="1089"/>
    </row>
    <row r="3409" spans="1:7" s="1088" customFormat="1" ht="15" x14ac:dyDescent="0.25">
      <c r="A3409" s="1071" t="s">
        <v>116</v>
      </c>
      <c r="B3409" s="1072"/>
      <c r="C3409" s="235" t="s">
        <v>117</v>
      </c>
      <c r="D3409" s="236" t="s">
        <v>124</v>
      </c>
      <c r="E3409" s="236" t="s">
        <v>125</v>
      </c>
      <c r="F3409" s="237" t="s">
        <v>126</v>
      </c>
      <c r="G3409" s="238" t="s">
        <v>120</v>
      </c>
    </row>
    <row r="3410" spans="1:7" s="1088" customFormat="1" ht="28.5" x14ac:dyDescent="0.2">
      <c r="A3410" s="1066" t="s">
        <v>127</v>
      </c>
      <c r="B3410" s="1067"/>
      <c r="C3410" s="239" t="s">
        <v>128</v>
      </c>
      <c r="D3410" s="240"/>
      <c r="E3410" s="241"/>
      <c r="F3410" s="222"/>
      <c r="G3410" s="242">
        <f>G3422*0.05</f>
        <v>0</v>
      </c>
    </row>
    <row r="3411" spans="1:7" s="1088" customFormat="1" ht="14.25" x14ac:dyDescent="0.2">
      <c r="A3411" s="1073"/>
      <c r="B3411" s="1074"/>
      <c r="C3411" s="243"/>
      <c r="D3411" s="221"/>
      <c r="E3411" s="244"/>
      <c r="F3411" s="222"/>
      <c r="G3411" s="224"/>
    </row>
    <row r="3412" spans="1:7" s="1088" customFormat="1" ht="14.25" x14ac:dyDescent="0.2">
      <c r="A3412" s="249"/>
      <c r="B3412" s="250"/>
      <c r="C3412" s="251"/>
      <c r="D3412" s="252"/>
      <c r="E3412" s="253"/>
      <c r="F3412" s="254"/>
      <c r="G3412" s="255"/>
    </row>
    <row r="3413" spans="1:7" s="1088" customFormat="1" ht="15" x14ac:dyDescent="0.25">
      <c r="A3413" s="209"/>
      <c r="B3413" s="214"/>
      <c r="C3413" s="256"/>
      <c r="D3413" s="214"/>
      <c r="E3413" s="212"/>
      <c r="F3413" s="257" t="s">
        <v>121</v>
      </c>
      <c r="G3413" s="258">
        <f>+SUM(G3410:G3412)</f>
        <v>0</v>
      </c>
    </row>
    <row r="3414" spans="1:7" s="1088" customFormat="1" ht="14.25" x14ac:dyDescent="0.2">
      <c r="A3414" s="209"/>
      <c r="B3414" s="212"/>
      <c r="C3414" s="211"/>
      <c r="D3414" s="212"/>
      <c r="E3414" s="213"/>
      <c r="F3414" s="212"/>
      <c r="G3414" s="215"/>
    </row>
    <row r="3415" spans="1:7" s="1088" customFormat="1" ht="15" x14ac:dyDescent="0.25">
      <c r="A3415" s="216" t="s">
        <v>130</v>
      </c>
      <c r="B3415" s="212"/>
      <c r="C3415" s="211"/>
      <c r="D3415" s="212"/>
      <c r="E3415" s="213"/>
      <c r="F3415" s="214"/>
      <c r="G3415" s="215"/>
    </row>
    <row r="3416" spans="1:7" s="1088" customFormat="1" ht="14.25" x14ac:dyDescent="0.2">
      <c r="A3416" s="209"/>
      <c r="B3416" s="212"/>
      <c r="C3416" s="211"/>
      <c r="D3416" s="212"/>
      <c r="E3416" s="213"/>
      <c r="F3416" s="214"/>
      <c r="G3416" s="215"/>
    </row>
    <row r="3417" spans="1:7" s="1088" customFormat="1" ht="15" x14ac:dyDescent="0.25">
      <c r="A3417" s="1071" t="s">
        <v>116</v>
      </c>
      <c r="B3417" s="1072"/>
      <c r="C3417" s="236" t="s">
        <v>131</v>
      </c>
      <c r="D3417" s="235" t="s">
        <v>132</v>
      </c>
      <c r="E3417" s="236" t="s">
        <v>133</v>
      </c>
      <c r="F3417" s="237" t="s">
        <v>126</v>
      </c>
      <c r="G3417" s="238" t="s">
        <v>134</v>
      </c>
    </row>
    <row r="3418" spans="1:7" s="1088" customFormat="1" ht="14.25" x14ac:dyDescent="0.2">
      <c r="A3418" s="209" t="s">
        <v>10</v>
      </c>
      <c r="B3418" s="259"/>
      <c r="C3418" s="260">
        <f>+M2</f>
        <v>22981.8</v>
      </c>
      <c r="D3418" s="261">
        <f>N2</f>
        <v>1.76</v>
      </c>
      <c r="E3418" s="276">
        <f>C3418*D3418</f>
        <v>40447.968000000001</v>
      </c>
      <c r="F3418" s="222"/>
      <c r="G3418" s="224">
        <f>F3418*E3418</f>
        <v>0</v>
      </c>
    </row>
    <row r="3419" spans="1:7" s="1088" customFormat="1" ht="14.25" x14ac:dyDescent="0.2">
      <c r="A3419" s="209" t="s">
        <v>140</v>
      </c>
      <c r="B3419" s="259"/>
      <c r="C3419" s="260">
        <f>+M3</f>
        <v>40000</v>
      </c>
      <c r="D3419" s="261">
        <f>+N3</f>
        <v>1.76</v>
      </c>
      <c r="E3419" s="276">
        <f>C3419*D3419</f>
        <v>70400</v>
      </c>
      <c r="F3419" s="222"/>
      <c r="G3419" s="224">
        <f>F3419*E3419</f>
        <v>0</v>
      </c>
    </row>
    <row r="3420" spans="1:7" s="1088" customFormat="1" ht="14.25" x14ac:dyDescent="0.2">
      <c r="A3420" s="209"/>
      <c r="B3420" s="245"/>
      <c r="C3420" s="265"/>
      <c r="D3420" s="246"/>
      <c r="E3420" s="265"/>
      <c r="F3420" s="266"/>
      <c r="G3420" s="267"/>
    </row>
    <row r="3421" spans="1:7" s="1088" customFormat="1" ht="14.25" x14ac:dyDescent="0.2">
      <c r="A3421" s="249"/>
      <c r="B3421" s="250"/>
      <c r="C3421" s="252"/>
      <c r="D3421" s="251"/>
      <c r="E3421" s="252"/>
      <c r="F3421" s="254"/>
      <c r="G3421" s="268"/>
    </row>
    <row r="3422" spans="1:7" s="1088" customFormat="1" ht="15" x14ac:dyDescent="0.25">
      <c r="A3422" s="209"/>
      <c r="B3422" s="212"/>
      <c r="C3422" s="211"/>
      <c r="D3422" s="212"/>
      <c r="E3422" s="269"/>
      <c r="F3422" s="269" t="s">
        <v>121</v>
      </c>
      <c r="G3422" s="270">
        <f>+SUM(G3418:G3421)</f>
        <v>0</v>
      </c>
    </row>
    <row r="3423" spans="1:7" s="1088" customFormat="1" ht="15" x14ac:dyDescent="0.25">
      <c r="A3423" s="209"/>
      <c r="B3423" s="212"/>
      <c r="C3423" s="211"/>
      <c r="D3423" s="212"/>
      <c r="E3423" s="257"/>
      <c r="F3423" s="257"/>
      <c r="G3423" s="271"/>
    </row>
    <row r="3424" spans="1:7" s="1088" customFormat="1" ht="15" x14ac:dyDescent="0.25">
      <c r="A3424" s="216" t="s">
        <v>135</v>
      </c>
      <c r="B3424" s="212"/>
      <c r="C3424" s="211"/>
      <c r="D3424" s="212"/>
      <c r="E3424" s="213"/>
      <c r="F3424" s="214"/>
      <c r="G3424" s="215"/>
    </row>
    <row r="3425" spans="1:9" s="1088" customFormat="1" ht="14.25" x14ac:dyDescent="0.2">
      <c r="A3425" s="209"/>
      <c r="B3425" s="212"/>
      <c r="C3425" s="211"/>
      <c r="D3425" s="212"/>
      <c r="E3425" s="213"/>
      <c r="F3425" s="214"/>
      <c r="G3425" s="215"/>
    </row>
    <row r="3426" spans="1:9" s="1088" customFormat="1" ht="15" x14ac:dyDescent="0.25">
      <c r="A3426" s="1071" t="s">
        <v>116</v>
      </c>
      <c r="B3426" s="1072"/>
      <c r="C3426" s="236" t="s">
        <v>117</v>
      </c>
      <c r="D3426" s="235" t="s">
        <v>136</v>
      </c>
      <c r="E3426" s="236" t="s">
        <v>124</v>
      </c>
      <c r="F3426" s="237" t="s">
        <v>126</v>
      </c>
      <c r="G3426" s="238" t="s">
        <v>134</v>
      </c>
    </row>
    <row r="3427" spans="1:9" s="1088" customFormat="1" ht="14.25" x14ac:dyDescent="0.2">
      <c r="A3427" s="209" t="s">
        <v>452</v>
      </c>
      <c r="B3427" s="286"/>
      <c r="C3427" s="287" t="s">
        <v>128</v>
      </c>
      <c r="D3427" s="261"/>
      <c r="E3427" s="276"/>
      <c r="F3427" s="222">
        <v>1</v>
      </c>
      <c r="G3427" s="224">
        <f>F3427*E3427</f>
        <v>0</v>
      </c>
    </row>
    <row r="3428" spans="1:9" s="1088" customFormat="1" ht="14.25" x14ac:dyDescent="0.2">
      <c r="A3428" s="209"/>
      <c r="B3428" s="275"/>
      <c r="C3428" s="260"/>
      <c r="D3428" s="261"/>
      <c r="E3428" s="276"/>
      <c r="F3428" s="222"/>
      <c r="G3428" s="224"/>
    </row>
    <row r="3429" spans="1:9" s="1088" customFormat="1" ht="14.25" x14ac:dyDescent="0.2">
      <c r="A3429" s="249"/>
      <c r="B3429" s="250"/>
      <c r="C3429" s="252"/>
      <c r="D3429" s="251"/>
      <c r="E3429" s="252"/>
      <c r="F3429" s="254"/>
      <c r="G3429" s="268"/>
    </row>
    <row r="3430" spans="1:9" s="1088" customFormat="1" ht="15" x14ac:dyDescent="0.25">
      <c r="A3430" s="209"/>
      <c r="B3430" s="212"/>
      <c r="C3430" s="211"/>
      <c r="D3430" s="212"/>
      <c r="E3430" s="269"/>
      <c r="F3430" s="269" t="s">
        <v>121</v>
      </c>
      <c r="G3430" s="270">
        <f>+SUM(G3427:G3429)</f>
        <v>0</v>
      </c>
    </row>
    <row r="3431" spans="1:9" s="1088" customFormat="1" ht="14.25" x14ac:dyDescent="0.2">
      <c r="A3431" s="209"/>
      <c r="B3431" s="212"/>
      <c r="C3431" s="211"/>
      <c r="D3431" s="212"/>
      <c r="E3431" s="213"/>
      <c r="F3431" s="214"/>
      <c r="G3431" s="271"/>
    </row>
    <row r="3432" spans="1:9" s="1088" customFormat="1" ht="15" x14ac:dyDescent="0.25">
      <c r="A3432" s="277"/>
      <c r="B3432" s="278"/>
      <c r="C3432" s="278"/>
      <c r="D3432" s="278"/>
      <c r="E3432" s="279"/>
      <c r="F3432" s="280" t="s">
        <v>137</v>
      </c>
      <c r="G3432" s="283">
        <f>+ROUND(G3405+G3413+G3422+G3430,0)</f>
        <v>119824405</v>
      </c>
      <c r="I3432" s="1092"/>
    </row>
    <row r="3433" spans="1:9" s="1088" customFormat="1" ht="15" x14ac:dyDescent="0.25">
      <c r="A3433" s="212"/>
      <c r="B3433" s="212"/>
      <c r="C3433" s="212"/>
      <c r="D3433" s="212"/>
      <c r="E3433" s="211"/>
      <c r="F3433" s="257"/>
      <c r="G3433" s="257"/>
    </row>
    <row r="3434" spans="1:9" s="1088" customFormat="1" ht="15" x14ac:dyDescent="0.25">
      <c r="A3434" s="145" t="s">
        <v>160</v>
      </c>
      <c r="B3434" s="1262" t="s">
        <v>161</v>
      </c>
      <c r="C3434" s="1263"/>
      <c r="D3434" s="1263"/>
      <c r="E3434" s="1263"/>
      <c r="F3434" s="1264"/>
      <c r="G3434" s="146" t="s">
        <v>2</v>
      </c>
    </row>
    <row r="3435" spans="1:9" s="1088" customFormat="1" ht="46.5" customHeight="1" x14ac:dyDescent="0.25">
      <c r="A3435" s="285" t="str">
        <f>'FORMATO PROPUESTA ECONÓMICA'!A126</f>
        <v>10.1</v>
      </c>
      <c r="B3435" s="1344" t="str">
        <f>'FORMATO PROPUESTA ECONÓMICA'!B126</f>
        <v>Construcción de cajas en  concreto reforzado de 210 kg/cm2, Acero de refuerzo Fy = 420 Mpa, 60000psi (todo diametro),  incluye  desagües, soportes para los macromedidores,  barandas en tubería galvanizada de 2"</v>
      </c>
      <c r="C3435" s="1345"/>
      <c r="D3435" s="1345"/>
      <c r="E3435" s="1345"/>
      <c r="F3435" s="1346"/>
      <c r="G3435" s="187" t="str">
        <f>'FORMATO PROPUESTA ECONÓMICA'!C126</f>
        <v>und</v>
      </c>
    </row>
    <row r="3436" spans="1:9" s="1088" customFormat="1" ht="14.25" x14ac:dyDescent="0.2">
      <c r="A3436" s="209"/>
      <c r="B3436" s="210"/>
      <c r="C3436" s="211"/>
      <c r="D3436" s="212"/>
      <c r="E3436" s="213"/>
      <c r="F3436" s="214"/>
      <c r="G3436" s="215"/>
    </row>
    <row r="3437" spans="1:9" s="1088" customFormat="1" ht="15" x14ac:dyDescent="0.25">
      <c r="A3437" s="216" t="s">
        <v>115</v>
      </c>
      <c r="B3437" s="212"/>
      <c r="C3437" s="211"/>
      <c r="D3437" s="212"/>
      <c r="E3437" s="213"/>
      <c r="F3437" s="214"/>
      <c r="G3437" s="215"/>
    </row>
    <row r="3438" spans="1:9" s="1088" customFormat="1" ht="14.25" x14ac:dyDescent="0.2">
      <c r="A3438" s="209"/>
      <c r="B3438" s="212"/>
      <c r="C3438" s="211"/>
      <c r="D3438" s="212"/>
      <c r="E3438" s="213"/>
      <c r="F3438" s="214"/>
      <c r="G3438" s="215"/>
    </row>
    <row r="3439" spans="1:9" s="1088" customFormat="1" ht="15" x14ac:dyDescent="0.25">
      <c r="A3439" s="1075" t="s">
        <v>116</v>
      </c>
      <c r="B3439" s="1076"/>
      <c r="C3439" s="217" t="s">
        <v>117</v>
      </c>
      <c r="D3439" s="1075" t="s">
        <v>118</v>
      </c>
      <c r="E3439" s="218" t="s">
        <v>39</v>
      </c>
      <c r="F3439" s="1075" t="s">
        <v>119</v>
      </c>
      <c r="G3439" s="219" t="s">
        <v>120</v>
      </c>
    </row>
    <row r="3440" spans="1:9" s="1088" customFormat="1" ht="14.25" x14ac:dyDescent="0.2">
      <c r="A3440" s="1308" t="s">
        <v>455</v>
      </c>
      <c r="B3440" s="1343"/>
      <c r="C3440" s="67" t="s">
        <v>15</v>
      </c>
      <c r="D3440" s="260">
        <f>396373.392*1.16</f>
        <v>459793.13471999997</v>
      </c>
      <c r="E3440" s="225">
        <v>5.2</v>
      </c>
      <c r="F3440" s="730">
        <v>5.0000000000000001E-3</v>
      </c>
      <c r="G3440" s="228">
        <f>D3440*E3440*1.05</f>
        <v>2510470.5155711998</v>
      </c>
    </row>
    <row r="3441" spans="1:7" s="1088" customFormat="1" ht="14.25" x14ac:dyDescent="0.2">
      <c r="A3441" s="1308" t="s">
        <v>458</v>
      </c>
      <c r="B3441" s="1333"/>
      <c r="C3441" s="67" t="s">
        <v>15</v>
      </c>
      <c r="D3441" s="260">
        <v>425944.95</v>
      </c>
      <c r="E3441" s="225">
        <v>0.6</v>
      </c>
      <c r="F3441" s="730">
        <v>5.0000000000000001E-3</v>
      </c>
      <c r="G3441" s="228">
        <f>D3441*E3441*1.05</f>
        <v>268345.31849999999</v>
      </c>
    </row>
    <row r="3442" spans="1:7" s="1088" customFormat="1" ht="14.25" x14ac:dyDescent="0.2">
      <c r="A3442" s="1252" t="s">
        <v>454</v>
      </c>
      <c r="B3442" s="1253"/>
      <c r="C3442" s="67" t="s">
        <v>176</v>
      </c>
      <c r="D3442" s="260">
        <f>2916.43*8*1.16</f>
        <v>27064.470399999998</v>
      </c>
      <c r="E3442" s="225">
        <v>1</v>
      </c>
      <c r="F3442" s="227"/>
      <c r="G3442" s="228">
        <f t="shared" ref="G3442:G3446" si="2">D3442*E3442</f>
        <v>27064.470399999998</v>
      </c>
    </row>
    <row r="3443" spans="1:7" s="1088" customFormat="1" ht="30" customHeight="1" x14ac:dyDescent="0.2">
      <c r="A3443" s="1252" t="s">
        <v>516</v>
      </c>
      <c r="B3443" s="1253"/>
      <c r="C3443" s="67" t="s">
        <v>352</v>
      </c>
      <c r="D3443" s="260">
        <v>4200</v>
      </c>
      <c r="E3443" s="225">
        <v>400</v>
      </c>
      <c r="F3443" s="227"/>
      <c r="G3443" s="228">
        <f t="shared" si="2"/>
        <v>1680000</v>
      </c>
    </row>
    <row r="3444" spans="1:7" s="1088" customFormat="1" ht="14.25" x14ac:dyDescent="0.2">
      <c r="A3444" s="1252" t="s">
        <v>459</v>
      </c>
      <c r="B3444" s="1253"/>
      <c r="C3444" s="67" t="s">
        <v>15</v>
      </c>
      <c r="D3444" s="260">
        <v>26002</v>
      </c>
      <c r="E3444" s="225">
        <v>1</v>
      </c>
      <c r="F3444" s="227"/>
      <c r="G3444" s="228">
        <f t="shared" si="2"/>
        <v>26002</v>
      </c>
    </row>
    <row r="3445" spans="1:7" s="1088" customFormat="1" ht="14.25" x14ac:dyDescent="0.2">
      <c r="A3445" s="1252" t="s">
        <v>191</v>
      </c>
      <c r="B3445" s="1253"/>
      <c r="C3445" s="67" t="s">
        <v>9</v>
      </c>
      <c r="D3445" s="260">
        <v>3500</v>
      </c>
      <c r="E3445" s="225">
        <v>20</v>
      </c>
      <c r="F3445" s="227"/>
      <c r="G3445" s="228">
        <f t="shared" si="2"/>
        <v>70000</v>
      </c>
    </row>
    <row r="3446" spans="1:7" s="1088" customFormat="1" ht="27" customHeight="1" x14ac:dyDescent="0.2">
      <c r="A3446" s="1252" t="s">
        <v>460</v>
      </c>
      <c r="B3446" s="1253"/>
      <c r="C3446" s="67" t="s">
        <v>59</v>
      </c>
      <c r="D3446" s="91">
        <v>287835</v>
      </c>
      <c r="E3446" s="225">
        <v>8</v>
      </c>
      <c r="F3446" s="227"/>
      <c r="G3446" s="228">
        <f t="shared" si="2"/>
        <v>2302680</v>
      </c>
    </row>
    <row r="3447" spans="1:7" s="1088" customFormat="1" ht="27.75" customHeight="1" x14ac:dyDescent="0.2">
      <c r="A3447" s="1252" t="s">
        <v>461</v>
      </c>
      <c r="B3447" s="1253"/>
      <c r="C3447" s="229" t="s">
        <v>15</v>
      </c>
      <c r="D3447" s="68">
        <f>18896.71+17075</f>
        <v>35971.71</v>
      </c>
      <c r="E3447" s="225">
        <f>2*2*2</f>
        <v>8</v>
      </c>
      <c r="F3447" s="227"/>
      <c r="G3447" s="228">
        <f>D3447*E3447</f>
        <v>287773.68</v>
      </c>
    </row>
    <row r="3448" spans="1:7" s="1088" customFormat="1" ht="14.25" x14ac:dyDescent="0.2">
      <c r="A3448" s="1252"/>
      <c r="B3448" s="1253"/>
      <c r="C3448" s="225"/>
      <c r="D3448" s="221"/>
      <c r="E3448" s="225"/>
      <c r="F3448" s="227"/>
      <c r="G3448" s="228">
        <f>D3448*E3448</f>
        <v>0</v>
      </c>
    </row>
    <row r="3449" spans="1:7" s="1088" customFormat="1" ht="14.25" x14ac:dyDescent="0.2">
      <c r="A3449" s="1069"/>
      <c r="B3449" s="1070"/>
      <c r="C3449" s="230"/>
      <c r="D3449" s="231"/>
      <c r="E3449" s="232"/>
      <c r="F3449" s="233"/>
      <c r="G3449" s="228">
        <f>D3449*E3449</f>
        <v>0</v>
      </c>
    </row>
    <row r="3450" spans="1:7" s="1088" customFormat="1" ht="15" x14ac:dyDescent="0.25">
      <c r="A3450" s="1073"/>
      <c r="B3450" s="210"/>
      <c r="C3450" s="211"/>
      <c r="D3450" s="212"/>
      <c r="E3450" s="212"/>
      <c r="F3450" s="234" t="s">
        <v>121</v>
      </c>
      <c r="G3450" s="231">
        <f>+SUM(G3440:G3449)</f>
        <v>7172335.9844712</v>
      </c>
    </row>
    <row r="3451" spans="1:7" s="1088" customFormat="1" ht="14.25" x14ac:dyDescent="0.2">
      <c r="A3451" s="209"/>
      <c r="B3451" s="212"/>
      <c r="C3451" s="211" t="s">
        <v>123</v>
      </c>
      <c r="D3451" s="212"/>
      <c r="E3451" s="213"/>
      <c r="F3451" s="214"/>
      <c r="G3451" s="215"/>
    </row>
    <row r="3452" spans="1:7" s="1088" customFormat="1" ht="15" x14ac:dyDescent="0.25">
      <c r="A3452" s="216" t="s">
        <v>122</v>
      </c>
      <c r="B3452" s="212"/>
      <c r="C3452" s="211" t="s">
        <v>123</v>
      </c>
      <c r="D3452" s="212"/>
      <c r="E3452" s="213"/>
      <c r="F3452" s="214"/>
      <c r="G3452" s="215"/>
    </row>
    <row r="3453" spans="1:7" s="1088" customFormat="1" ht="14.25" x14ac:dyDescent="0.2">
      <c r="A3453" s="209"/>
      <c r="B3453" s="212"/>
      <c r="C3453" s="211"/>
      <c r="D3453" s="212"/>
      <c r="E3453" s="213"/>
      <c r="F3453" s="214"/>
      <c r="G3453" s="215"/>
    </row>
    <row r="3454" spans="1:7" s="1088" customFormat="1" ht="15" x14ac:dyDescent="0.25">
      <c r="A3454" s="1071" t="s">
        <v>116</v>
      </c>
      <c r="B3454" s="1072"/>
      <c r="C3454" s="235" t="s">
        <v>117</v>
      </c>
      <c r="D3454" s="236" t="s">
        <v>124</v>
      </c>
      <c r="E3454" s="236" t="s">
        <v>125</v>
      </c>
      <c r="F3454" s="237" t="s">
        <v>126</v>
      </c>
      <c r="G3454" s="238" t="s">
        <v>120</v>
      </c>
    </row>
    <row r="3455" spans="1:7" s="1088" customFormat="1" ht="28.5" x14ac:dyDescent="0.2">
      <c r="A3455" s="1066" t="s">
        <v>127</v>
      </c>
      <c r="B3455" s="1067"/>
      <c r="C3455" s="239" t="s">
        <v>128</v>
      </c>
      <c r="D3455" s="240"/>
      <c r="E3455" s="241"/>
      <c r="F3455" s="222"/>
      <c r="G3455" s="242">
        <f>G3469*0.05</f>
        <v>3782.3984</v>
      </c>
    </row>
    <row r="3456" spans="1:7" s="1088" customFormat="1" ht="14.25" x14ac:dyDescent="0.2">
      <c r="A3456" s="1073" t="s">
        <v>456</v>
      </c>
      <c r="B3456" s="1074"/>
      <c r="C3456" s="243" t="s">
        <v>11</v>
      </c>
      <c r="D3456" s="240">
        <f>6670.17*1.16</f>
        <v>7737.3971999999994</v>
      </c>
      <c r="E3456" s="244"/>
      <c r="F3456" s="222">
        <v>1</v>
      </c>
      <c r="G3456" s="228">
        <f>D3456*F3456</f>
        <v>7737.3971999999994</v>
      </c>
    </row>
    <row r="3457" spans="1:9" s="1088" customFormat="1" ht="14.25" x14ac:dyDescent="0.2">
      <c r="A3457" s="1073" t="s">
        <v>457</v>
      </c>
      <c r="B3457" s="1074"/>
      <c r="C3457" s="243" t="s">
        <v>176</v>
      </c>
      <c r="D3457" s="221">
        <f>55620*1.16</f>
        <v>64519.199999999997</v>
      </c>
      <c r="E3457" s="244"/>
      <c r="F3457" s="222">
        <f>0.3</f>
        <v>0.3</v>
      </c>
      <c r="G3457" s="228">
        <f>D3457*F3457</f>
        <v>19355.759999999998</v>
      </c>
    </row>
    <row r="3458" spans="1:9" s="1088" customFormat="1" ht="14.25" x14ac:dyDescent="0.2">
      <c r="A3458" s="209"/>
      <c r="B3458" s="245"/>
      <c r="C3458" s="246"/>
      <c r="D3458" s="221"/>
      <c r="E3458" s="247"/>
      <c r="F3458" s="222"/>
      <c r="G3458" s="248"/>
    </row>
    <row r="3459" spans="1:9" s="1088" customFormat="1" ht="14.25" x14ac:dyDescent="0.2">
      <c r="A3459" s="249"/>
      <c r="B3459" s="250"/>
      <c r="C3459" s="251"/>
      <c r="D3459" s="252"/>
      <c r="E3459" s="253"/>
      <c r="F3459" s="254"/>
      <c r="G3459" s="255"/>
    </row>
    <row r="3460" spans="1:9" s="1088" customFormat="1" ht="15" x14ac:dyDescent="0.25">
      <c r="A3460" s="209"/>
      <c r="B3460" s="214"/>
      <c r="C3460" s="256"/>
      <c r="D3460" s="214"/>
      <c r="E3460" s="212"/>
      <c r="F3460" s="257" t="s">
        <v>121</v>
      </c>
      <c r="G3460" s="258">
        <f>+SUM(G3455:G3459)</f>
        <v>30875.5556</v>
      </c>
    </row>
    <row r="3461" spans="1:9" s="1088" customFormat="1" ht="14.25" x14ac:dyDescent="0.2">
      <c r="A3461" s="209"/>
      <c r="B3461" s="212"/>
      <c r="C3461" s="211"/>
      <c r="D3461" s="212"/>
      <c r="E3461" s="213"/>
      <c r="F3461" s="212"/>
      <c r="G3461" s="215"/>
      <c r="I3461" s="1089"/>
    </row>
    <row r="3462" spans="1:9" s="1088" customFormat="1" ht="15" x14ac:dyDescent="0.25">
      <c r="A3462" s="216" t="s">
        <v>130</v>
      </c>
      <c r="B3462" s="212"/>
      <c r="C3462" s="211"/>
      <c r="D3462" s="212"/>
      <c r="E3462" s="213"/>
      <c r="F3462" s="214"/>
      <c r="G3462" s="215"/>
    </row>
    <row r="3463" spans="1:9" s="1088" customFormat="1" ht="14.25" x14ac:dyDescent="0.2">
      <c r="A3463" s="209"/>
      <c r="B3463" s="212"/>
      <c r="C3463" s="211"/>
      <c r="D3463" s="212"/>
      <c r="E3463" s="213"/>
      <c r="F3463" s="214"/>
      <c r="G3463" s="215"/>
    </row>
    <row r="3464" spans="1:9" s="1088" customFormat="1" ht="15" x14ac:dyDescent="0.25">
      <c r="A3464" s="1071" t="s">
        <v>116</v>
      </c>
      <c r="B3464" s="1072"/>
      <c r="C3464" s="236" t="s">
        <v>131</v>
      </c>
      <c r="D3464" s="235" t="s">
        <v>132</v>
      </c>
      <c r="E3464" s="236" t="s">
        <v>133</v>
      </c>
      <c r="F3464" s="237" t="s">
        <v>126</v>
      </c>
      <c r="G3464" s="238" t="s">
        <v>134</v>
      </c>
    </row>
    <row r="3465" spans="1:9" s="1088" customFormat="1" ht="14.25" x14ac:dyDescent="0.2">
      <c r="A3465" s="209" t="s">
        <v>10</v>
      </c>
      <c r="B3465" s="259"/>
      <c r="C3465" s="260">
        <f>+M2*2</f>
        <v>45963.6</v>
      </c>
      <c r="D3465" s="261">
        <f>N2</f>
        <v>1.76</v>
      </c>
      <c r="E3465" s="276">
        <f>C3465*D3465</f>
        <v>80895.936000000002</v>
      </c>
      <c r="F3465" s="331">
        <f>1/2</f>
        <v>0.5</v>
      </c>
      <c r="G3465" s="224">
        <f>F3465*E3465</f>
        <v>40447.968000000001</v>
      </c>
    </row>
    <row r="3466" spans="1:9" s="1088" customFormat="1" ht="14.25" x14ac:dyDescent="0.2">
      <c r="A3466" s="209" t="s">
        <v>140</v>
      </c>
      <c r="B3466" s="259"/>
      <c r="C3466" s="260">
        <f>+M3</f>
        <v>40000</v>
      </c>
      <c r="D3466" s="261">
        <f>+N2</f>
        <v>1.76</v>
      </c>
      <c r="E3466" s="276">
        <f>C3466*D3466</f>
        <v>70400</v>
      </c>
      <c r="F3466" s="331">
        <f>1/2</f>
        <v>0.5</v>
      </c>
      <c r="G3466" s="224">
        <f>F3466*E3466</f>
        <v>35200</v>
      </c>
    </row>
    <row r="3467" spans="1:9" s="1088" customFormat="1" ht="14.25" x14ac:dyDescent="0.2">
      <c r="A3467" s="209"/>
      <c r="B3467" s="245"/>
      <c r="C3467" s="265"/>
      <c r="D3467" s="246"/>
      <c r="E3467" s="265"/>
      <c r="F3467" s="266"/>
      <c r="G3467" s="267"/>
    </row>
    <row r="3468" spans="1:9" s="1088" customFormat="1" ht="14.25" x14ac:dyDescent="0.2">
      <c r="A3468" s="249"/>
      <c r="B3468" s="250"/>
      <c r="C3468" s="252"/>
      <c r="D3468" s="251"/>
      <c r="E3468" s="252"/>
      <c r="F3468" s="254"/>
      <c r="G3468" s="268"/>
    </row>
    <row r="3469" spans="1:9" s="1088" customFormat="1" ht="15" x14ac:dyDescent="0.25">
      <c r="A3469" s="209"/>
      <c r="B3469" s="212"/>
      <c r="C3469" s="211"/>
      <c r="D3469" s="212"/>
      <c r="E3469" s="269"/>
      <c r="F3469" s="269" t="s">
        <v>121</v>
      </c>
      <c r="G3469" s="270">
        <f>+SUM(G3465:G3468)</f>
        <v>75647.967999999993</v>
      </c>
    </row>
    <row r="3470" spans="1:9" s="1088" customFormat="1" ht="15" x14ac:dyDescent="0.25">
      <c r="A3470" s="209"/>
      <c r="B3470" s="212"/>
      <c r="C3470" s="211"/>
      <c r="D3470" s="212"/>
      <c r="E3470" s="257"/>
      <c r="F3470" s="257"/>
      <c r="G3470" s="271"/>
    </row>
    <row r="3471" spans="1:9" s="1088" customFormat="1" ht="15" x14ac:dyDescent="0.25">
      <c r="A3471" s="216" t="s">
        <v>135</v>
      </c>
      <c r="B3471" s="212"/>
      <c r="C3471" s="211"/>
      <c r="D3471" s="212"/>
      <c r="E3471" s="213"/>
      <c r="F3471" s="214"/>
      <c r="G3471" s="215"/>
    </row>
    <row r="3472" spans="1:9" s="1088" customFormat="1" ht="14.25" x14ac:dyDescent="0.2">
      <c r="A3472" s="209"/>
      <c r="B3472" s="212"/>
      <c r="C3472" s="211"/>
      <c r="D3472" s="212"/>
      <c r="E3472" s="213"/>
      <c r="F3472" s="214"/>
      <c r="G3472" s="215"/>
    </row>
    <row r="3473" spans="1:7" s="1088" customFormat="1" ht="15" x14ac:dyDescent="0.25">
      <c r="A3473" s="1071" t="s">
        <v>116</v>
      </c>
      <c r="B3473" s="1072"/>
      <c r="C3473" s="236" t="s">
        <v>117</v>
      </c>
      <c r="D3473" s="235" t="s">
        <v>136</v>
      </c>
      <c r="E3473" s="236" t="s">
        <v>124</v>
      </c>
      <c r="F3473" s="237" t="s">
        <v>126</v>
      </c>
      <c r="G3473" s="238" t="s">
        <v>134</v>
      </c>
    </row>
    <row r="3474" spans="1:7" s="1088" customFormat="1" ht="14.25" x14ac:dyDescent="0.2">
      <c r="A3474" s="209" t="s">
        <v>452</v>
      </c>
      <c r="B3474" s="286"/>
      <c r="C3474" s="287" t="s">
        <v>128</v>
      </c>
      <c r="D3474" s="261"/>
      <c r="E3474" s="276">
        <v>165000</v>
      </c>
      <c r="F3474" s="222">
        <v>1</v>
      </c>
      <c r="G3474" s="224">
        <f>F3474*E3474</f>
        <v>165000</v>
      </c>
    </row>
    <row r="3475" spans="1:7" s="1088" customFormat="1" ht="14.25" x14ac:dyDescent="0.2">
      <c r="A3475" s="209"/>
      <c r="B3475" s="275"/>
      <c r="C3475" s="260"/>
      <c r="D3475" s="261"/>
      <c r="E3475" s="276"/>
      <c r="F3475" s="222"/>
      <c r="G3475" s="224"/>
    </row>
    <row r="3476" spans="1:7" s="1088" customFormat="1" ht="14.25" x14ac:dyDescent="0.2">
      <c r="A3476" s="209"/>
      <c r="B3476" s="259"/>
      <c r="C3476" s="260"/>
      <c r="D3476" s="261"/>
      <c r="E3476" s="276"/>
      <c r="F3476" s="222"/>
      <c r="G3476" s="224"/>
    </row>
    <row r="3477" spans="1:7" s="1088" customFormat="1" ht="14.25" x14ac:dyDescent="0.2">
      <c r="A3477" s="209"/>
      <c r="B3477" s="259"/>
      <c r="C3477" s="260"/>
      <c r="D3477" s="261"/>
      <c r="E3477" s="276"/>
      <c r="F3477" s="222"/>
      <c r="G3477" s="224"/>
    </row>
    <row r="3478" spans="1:7" s="1088" customFormat="1" ht="14.25" x14ac:dyDescent="0.2">
      <c r="A3478" s="209"/>
      <c r="B3478" s="245"/>
      <c r="C3478" s="265"/>
      <c r="D3478" s="246"/>
      <c r="E3478" s="265"/>
      <c r="F3478" s="266"/>
      <c r="G3478" s="267"/>
    </row>
    <row r="3479" spans="1:7" s="1088" customFormat="1" ht="14.25" x14ac:dyDescent="0.2">
      <c r="A3479" s="249"/>
      <c r="B3479" s="250"/>
      <c r="C3479" s="252"/>
      <c r="D3479" s="251"/>
      <c r="E3479" s="252"/>
      <c r="F3479" s="254"/>
      <c r="G3479" s="268"/>
    </row>
    <row r="3480" spans="1:7" s="1088" customFormat="1" ht="15" x14ac:dyDescent="0.25">
      <c r="A3480" s="209"/>
      <c r="B3480" s="212"/>
      <c r="C3480" s="211"/>
      <c r="D3480" s="212"/>
      <c r="E3480" s="269"/>
      <c r="F3480" s="269" t="s">
        <v>121</v>
      </c>
      <c r="G3480" s="270">
        <f>+SUM(G3474:G3479)</f>
        <v>165000</v>
      </c>
    </row>
    <row r="3481" spans="1:7" s="1088" customFormat="1" ht="14.25" x14ac:dyDescent="0.2">
      <c r="A3481" s="209"/>
      <c r="B3481" s="212"/>
      <c r="C3481" s="211"/>
      <c r="D3481" s="212"/>
      <c r="E3481" s="213"/>
      <c r="F3481" s="214"/>
      <c r="G3481" s="271"/>
    </row>
    <row r="3482" spans="1:7" s="1088" customFormat="1" ht="15" x14ac:dyDescent="0.25">
      <c r="A3482" s="277"/>
      <c r="B3482" s="278"/>
      <c r="C3482" s="278"/>
      <c r="D3482" s="278"/>
      <c r="E3482" s="279"/>
      <c r="F3482" s="280" t="s">
        <v>137</v>
      </c>
      <c r="G3482" s="283">
        <f>+ROUND(G3450+G3460+G3469+G3480,0)</f>
        <v>7443860</v>
      </c>
    </row>
    <row r="3483" spans="1:7" s="1088" customFormat="1" ht="15" x14ac:dyDescent="0.25">
      <c r="A3483" s="212"/>
      <c r="B3483" s="212"/>
      <c r="C3483" s="212"/>
      <c r="D3483" s="212"/>
      <c r="E3483" s="211"/>
      <c r="F3483" s="257"/>
      <c r="G3483" s="257"/>
    </row>
    <row r="3484" spans="1:7" s="1088" customFormat="1" ht="14.25" x14ac:dyDescent="0.2">
      <c r="A3484" s="212"/>
      <c r="B3484" s="212"/>
      <c r="C3484" s="212"/>
      <c r="D3484" s="212"/>
      <c r="E3484" s="211"/>
      <c r="F3484" s="211"/>
      <c r="G3484" s="211"/>
    </row>
    <row r="3485" spans="1:7" s="1088" customFormat="1" ht="15" x14ac:dyDescent="0.25">
      <c r="A3485" s="145" t="s">
        <v>160</v>
      </c>
      <c r="B3485" s="1262" t="s">
        <v>161</v>
      </c>
      <c r="C3485" s="1263"/>
      <c r="D3485" s="1263"/>
      <c r="E3485" s="1263"/>
      <c r="F3485" s="1264"/>
      <c r="G3485" s="146" t="s">
        <v>2</v>
      </c>
    </row>
    <row r="3486" spans="1:7" s="1088" customFormat="1" ht="45" customHeight="1" x14ac:dyDescent="0.2">
      <c r="A3486" s="1052">
        <f>'FORMATO PROPUESTA ECONÓMICA'!A127</f>
        <v>10.199999999999999</v>
      </c>
      <c r="B3486" s="1265" t="str">
        <f>'FORMATO PROPUESTA ECONÓMICA'!B127</f>
        <v>Suministro, transporte y construcción de caja de medidor de 1/2" en concreto de 21 Mpa (210Kg/cm2) de 35x50 cm, espesor de 0,05 m,  incluye instalación de la tapa metálica.</v>
      </c>
      <c r="C3486" s="1266"/>
      <c r="D3486" s="1266"/>
      <c r="E3486" s="1266"/>
      <c r="F3486" s="1267"/>
      <c r="G3486" s="187" t="str">
        <f>'FORMATO PROPUESTA ECONÓMICA'!C127</f>
        <v>und</v>
      </c>
    </row>
    <row r="3487" spans="1:7" s="1088" customFormat="1" ht="14.25" x14ac:dyDescent="0.2">
      <c r="A3487" s="209"/>
      <c r="B3487" s="210"/>
      <c r="C3487" s="211"/>
      <c r="D3487" s="212"/>
      <c r="E3487" s="213"/>
      <c r="F3487" s="214"/>
      <c r="G3487" s="215"/>
    </row>
    <row r="3488" spans="1:7" s="1088" customFormat="1" ht="15" x14ac:dyDescent="0.25">
      <c r="A3488" s="216" t="s">
        <v>115</v>
      </c>
      <c r="B3488" s="212"/>
      <c r="C3488" s="211"/>
      <c r="D3488" s="212"/>
      <c r="E3488" s="213"/>
      <c r="F3488" s="214"/>
      <c r="G3488" s="215"/>
    </row>
    <row r="3489" spans="1:7" s="1088" customFormat="1" ht="14.25" x14ac:dyDescent="0.2">
      <c r="A3489" s="209"/>
      <c r="B3489" s="212"/>
      <c r="C3489" s="211"/>
      <c r="D3489" s="212"/>
      <c r="E3489" s="213"/>
      <c r="F3489" s="214"/>
      <c r="G3489" s="215"/>
    </row>
    <row r="3490" spans="1:7" s="1088" customFormat="1" ht="15" customHeight="1" x14ac:dyDescent="0.25">
      <c r="A3490" s="1075" t="s">
        <v>116</v>
      </c>
      <c r="B3490" s="1076"/>
      <c r="C3490" s="217" t="s">
        <v>117</v>
      </c>
      <c r="D3490" s="1075" t="s">
        <v>118</v>
      </c>
      <c r="E3490" s="337" t="s">
        <v>39</v>
      </c>
      <c r="F3490" s="237" t="s">
        <v>126</v>
      </c>
      <c r="G3490" s="219" t="s">
        <v>120</v>
      </c>
    </row>
    <row r="3491" spans="1:7" s="1088" customFormat="1" ht="14.25" x14ac:dyDescent="0.2">
      <c r="A3491" s="209" t="s">
        <v>179</v>
      </c>
      <c r="B3491" s="286"/>
      <c r="C3491" s="220" t="s">
        <v>180</v>
      </c>
      <c r="D3491" s="261">
        <v>15000</v>
      </c>
      <c r="E3491" s="338">
        <v>1</v>
      </c>
      <c r="F3491" s="222">
        <v>10</v>
      </c>
      <c r="G3491" s="242">
        <f>D3491/F3491</f>
        <v>1500</v>
      </c>
    </row>
    <row r="3492" spans="1:7" s="1088" customFormat="1" ht="14.25" x14ac:dyDescent="0.2">
      <c r="A3492" s="1060"/>
      <c r="B3492" s="1068"/>
      <c r="C3492" s="225"/>
      <c r="D3492" s="221"/>
      <c r="E3492" s="226"/>
      <c r="F3492" s="227"/>
      <c r="G3492" s="228">
        <f>D3492*E3492</f>
        <v>0</v>
      </c>
    </row>
    <row r="3493" spans="1:7" s="1088" customFormat="1" ht="14.25" x14ac:dyDescent="0.2">
      <c r="A3493" s="1060"/>
      <c r="B3493" s="1068"/>
      <c r="C3493" s="229"/>
      <c r="D3493" s="221"/>
      <c r="E3493" s="226"/>
      <c r="F3493" s="227"/>
      <c r="G3493" s="228">
        <f>D3493*E3493</f>
        <v>0</v>
      </c>
    </row>
    <row r="3494" spans="1:7" s="1088" customFormat="1" ht="14.25" x14ac:dyDescent="0.2">
      <c r="A3494" s="1060"/>
      <c r="B3494" s="1068"/>
      <c r="C3494" s="225"/>
      <c r="D3494" s="221"/>
      <c r="E3494" s="226"/>
      <c r="F3494" s="227"/>
      <c r="G3494" s="228">
        <f>D3494*E3494</f>
        <v>0</v>
      </c>
    </row>
    <row r="3495" spans="1:7" s="1088" customFormat="1" ht="15" customHeight="1" x14ac:dyDescent="0.2">
      <c r="A3495" s="1069"/>
      <c r="B3495" s="1070"/>
      <c r="C3495" s="230"/>
      <c r="D3495" s="231"/>
      <c r="E3495" s="232"/>
      <c r="F3495" s="233"/>
      <c r="G3495" s="228">
        <f>D3495*E3495</f>
        <v>0</v>
      </c>
    </row>
    <row r="3496" spans="1:7" s="1088" customFormat="1" ht="15" x14ac:dyDescent="0.25">
      <c r="A3496" s="1073"/>
      <c r="B3496" s="210"/>
      <c r="C3496" s="211"/>
      <c r="D3496" s="212"/>
      <c r="E3496" s="212"/>
      <c r="F3496" s="234" t="s">
        <v>121</v>
      </c>
      <c r="G3496" s="231">
        <f>+SUM(G3491:G3495)</f>
        <v>1500</v>
      </c>
    </row>
    <row r="3497" spans="1:7" s="1088" customFormat="1" ht="14.25" x14ac:dyDescent="0.2">
      <c r="A3497" s="209"/>
      <c r="B3497" s="212"/>
      <c r="C3497" s="211" t="s">
        <v>123</v>
      </c>
      <c r="D3497" s="212"/>
      <c r="E3497" s="213"/>
      <c r="F3497" s="214"/>
      <c r="G3497" s="215"/>
    </row>
    <row r="3498" spans="1:7" s="1088" customFormat="1" ht="15" x14ac:dyDescent="0.25">
      <c r="A3498" s="216" t="s">
        <v>122</v>
      </c>
      <c r="B3498" s="212"/>
      <c r="C3498" s="211" t="s">
        <v>123</v>
      </c>
      <c r="D3498" s="212"/>
      <c r="E3498" s="213"/>
      <c r="F3498" s="214"/>
      <c r="G3498" s="215"/>
    </row>
    <row r="3499" spans="1:7" s="1088" customFormat="1" ht="14.25" x14ac:dyDescent="0.2">
      <c r="A3499" s="209"/>
      <c r="B3499" s="212"/>
      <c r="C3499" s="211"/>
      <c r="D3499" s="212"/>
      <c r="E3499" s="213"/>
      <c r="F3499" s="214"/>
      <c r="G3499" s="215"/>
    </row>
    <row r="3500" spans="1:7" s="1088" customFormat="1" ht="15" x14ac:dyDescent="0.25">
      <c r="A3500" s="1071" t="s">
        <v>116</v>
      </c>
      <c r="B3500" s="1072"/>
      <c r="C3500" s="235" t="s">
        <v>117</v>
      </c>
      <c r="D3500" s="236" t="s">
        <v>181</v>
      </c>
      <c r="E3500" s="236" t="s">
        <v>182</v>
      </c>
      <c r="F3500" s="237" t="s">
        <v>119</v>
      </c>
      <c r="G3500" s="238" t="s">
        <v>120</v>
      </c>
    </row>
    <row r="3501" spans="1:7" s="1088" customFormat="1" ht="28.5" x14ac:dyDescent="0.2">
      <c r="A3501" s="1066" t="s">
        <v>127</v>
      </c>
      <c r="B3501" s="1067"/>
      <c r="C3501" s="239" t="s">
        <v>128</v>
      </c>
      <c r="D3501" s="240"/>
      <c r="E3501" s="241"/>
      <c r="F3501" s="222"/>
      <c r="G3501" s="242">
        <f>G3515*0.05</f>
        <v>202.23984000000002</v>
      </c>
    </row>
    <row r="3502" spans="1:7" s="1088" customFormat="1" ht="14.25" x14ac:dyDescent="0.2">
      <c r="A3502" s="1256" t="s">
        <v>153</v>
      </c>
      <c r="B3502" s="1257"/>
      <c r="C3502" s="220"/>
      <c r="D3502" s="339">
        <v>3.5000000000000003E-2</v>
      </c>
      <c r="E3502" s="289">
        <v>396373.39200000005</v>
      </c>
      <c r="F3502" s="290">
        <v>1</v>
      </c>
      <c r="G3502" s="242">
        <f>D3502*E3502*F3502</f>
        <v>13873.068720000003</v>
      </c>
    </row>
    <row r="3503" spans="1:7" s="1088" customFormat="1" ht="14.25" x14ac:dyDescent="0.2">
      <c r="A3503" s="1073"/>
      <c r="B3503" s="1074"/>
      <c r="C3503" s="243"/>
      <c r="D3503" s="221"/>
      <c r="E3503" s="244"/>
      <c r="F3503" s="222"/>
      <c r="G3503" s="224"/>
    </row>
    <row r="3504" spans="1:7" s="1088" customFormat="1" ht="14.25" x14ac:dyDescent="0.2">
      <c r="A3504" s="209"/>
      <c r="B3504" s="245"/>
      <c r="C3504" s="246"/>
      <c r="D3504" s="221"/>
      <c r="E3504" s="247"/>
      <c r="F3504" s="222"/>
      <c r="G3504" s="248"/>
    </row>
    <row r="3505" spans="1:7" s="1088" customFormat="1" ht="14.25" x14ac:dyDescent="0.2">
      <c r="A3505" s="249"/>
      <c r="B3505" s="250"/>
      <c r="C3505" s="251"/>
      <c r="D3505" s="252"/>
      <c r="E3505" s="253"/>
      <c r="F3505" s="254"/>
      <c r="G3505" s="255"/>
    </row>
    <row r="3506" spans="1:7" s="1088" customFormat="1" ht="15" x14ac:dyDescent="0.25">
      <c r="A3506" s="209"/>
      <c r="B3506" s="214"/>
      <c r="C3506" s="256"/>
      <c r="D3506" s="214"/>
      <c r="E3506" s="212"/>
      <c r="F3506" s="257" t="s">
        <v>121</v>
      </c>
      <c r="G3506" s="258">
        <f>+SUM(G3501:G3505)</f>
        <v>14075.308560000003</v>
      </c>
    </row>
    <row r="3507" spans="1:7" s="1088" customFormat="1" ht="14.25" x14ac:dyDescent="0.2">
      <c r="A3507" s="209"/>
      <c r="B3507" s="212"/>
      <c r="C3507" s="211"/>
      <c r="D3507" s="212"/>
      <c r="E3507" s="213"/>
      <c r="F3507" s="212"/>
      <c r="G3507" s="215"/>
    </row>
    <row r="3508" spans="1:7" s="1088" customFormat="1" ht="15" x14ac:dyDescent="0.25">
      <c r="A3508" s="216" t="s">
        <v>130</v>
      </c>
      <c r="B3508" s="212"/>
      <c r="C3508" s="211"/>
      <c r="D3508" s="212"/>
      <c r="E3508" s="213"/>
      <c r="F3508" s="214"/>
      <c r="G3508" s="215"/>
    </row>
    <row r="3509" spans="1:7" s="1088" customFormat="1" ht="14.25" x14ac:dyDescent="0.2">
      <c r="A3509" s="209"/>
      <c r="B3509" s="212"/>
      <c r="C3509" s="211"/>
      <c r="D3509" s="212"/>
      <c r="E3509" s="213"/>
      <c r="F3509" s="214"/>
      <c r="G3509" s="215"/>
    </row>
    <row r="3510" spans="1:7" s="1088" customFormat="1" ht="15" x14ac:dyDescent="0.25">
      <c r="A3510" s="1071" t="s">
        <v>116</v>
      </c>
      <c r="B3510" s="1072"/>
      <c r="C3510" s="236" t="s">
        <v>131</v>
      </c>
      <c r="D3510" s="235" t="s">
        <v>132</v>
      </c>
      <c r="E3510" s="236" t="s">
        <v>133</v>
      </c>
      <c r="F3510" s="237" t="s">
        <v>126</v>
      </c>
      <c r="G3510" s="238" t="s">
        <v>134</v>
      </c>
    </row>
    <row r="3511" spans="1:7" s="1088" customFormat="1" ht="14.25" x14ac:dyDescent="0.2">
      <c r="A3511" s="209" t="s">
        <v>10</v>
      </c>
      <c r="B3511" s="259"/>
      <c r="C3511" s="260">
        <f>M2</f>
        <v>22981.8</v>
      </c>
      <c r="D3511" s="261">
        <f>N2</f>
        <v>1.76</v>
      </c>
      <c r="E3511" s="276">
        <f>C3511*D3511</f>
        <v>40447.968000000001</v>
      </c>
      <c r="F3511" s="222">
        <f>1/10</f>
        <v>0.1</v>
      </c>
      <c r="G3511" s="224">
        <f>F3511*E3511</f>
        <v>4044.7968000000001</v>
      </c>
    </row>
    <row r="3512" spans="1:7" s="1088" customFormat="1" ht="14.25" x14ac:dyDescent="0.2">
      <c r="A3512" s="209"/>
      <c r="B3512" s="259"/>
      <c r="C3512" s="260"/>
      <c r="D3512" s="261"/>
      <c r="E3512" s="276"/>
      <c r="F3512" s="222"/>
      <c r="G3512" s="224">
        <f>F3512*E3512</f>
        <v>0</v>
      </c>
    </row>
    <row r="3513" spans="1:7" s="1088" customFormat="1" ht="14.25" x14ac:dyDescent="0.2">
      <c r="A3513" s="209"/>
      <c r="B3513" s="245"/>
      <c r="C3513" s="265"/>
      <c r="D3513" s="246"/>
      <c r="E3513" s="265"/>
      <c r="F3513" s="266"/>
      <c r="G3513" s="267"/>
    </row>
    <row r="3514" spans="1:7" s="1088" customFormat="1" ht="14.25" x14ac:dyDescent="0.2">
      <c r="A3514" s="249"/>
      <c r="B3514" s="250"/>
      <c r="C3514" s="252"/>
      <c r="D3514" s="251"/>
      <c r="E3514" s="252"/>
      <c r="F3514" s="254"/>
      <c r="G3514" s="268"/>
    </row>
    <row r="3515" spans="1:7" s="1088" customFormat="1" ht="15" x14ac:dyDescent="0.25">
      <c r="A3515" s="209"/>
      <c r="B3515" s="212"/>
      <c r="C3515" s="211"/>
      <c r="D3515" s="212"/>
      <c r="E3515" s="269"/>
      <c r="F3515" s="269" t="s">
        <v>121</v>
      </c>
      <c r="G3515" s="270">
        <f>+SUM(G3511:G3514)</f>
        <v>4044.7968000000001</v>
      </c>
    </row>
    <row r="3516" spans="1:7" s="1088" customFormat="1" ht="15" x14ac:dyDescent="0.25">
      <c r="A3516" s="209"/>
      <c r="B3516" s="212"/>
      <c r="C3516" s="211"/>
      <c r="D3516" s="212"/>
      <c r="E3516" s="257"/>
      <c r="F3516" s="257"/>
      <c r="G3516" s="271"/>
    </row>
    <row r="3517" spans="1:7" s="1088" customFormat="1" ht="15" x14ac:dyDescent="0.25">
      <c r="A3517" s="216" t="s">
        <v>135</v>
      </c>
      <c r="B3517" s="212"/>
      <c r="C3517" s="211"/>
      <c r="D3517" s="212"/>
      <c r="E3517" s="213"/>
      <c r="F3517" s="214"/>
      <c r="G3517" s="215"/>
    </row>
    <row r="3518" spans="1:7" s="1088" customFormat="1" ht="14.25" x14ac:dyDescent="0.2">
      <c r="A3518" s="209"/>
      <c r="B3518" s="212"/>
      <c r="C3518" s="211"/>
      <c r="D3518" s="212"/>
      <c r="E3518" s="213"/>
      <c r="F3518" s="214"/>
      <c r="G3518" s="215"/>
    </row>
    <row r="3519" spans="1:7" s="1088" customFormat="1" ht="15" x14ac:dyDescent="0.25">
      <c r="A3519" s="1071" t="s">
        <v>116</v>
      </c>
      <c r="B3519" s="1072"/>
      <c r="C3519" s="236" t="s">
        <v>117</v>
      </c>
      <c r="D3519" s="235" t="s">
        <v>136</v>
      </c>
      <c r="E3519" s="236" t="s">
        <v>124</v>
      </c>
      <c r="F3519" s="237" t="s">
        <v>126</v>
      </c>
      <c r="G3519" s="238" t="s">
        <v>134</v>
      </c>
    </row>
    <row r="3520" spans="1:7" s="1088" customFormat="1" ht="14.25" x14ac:dyDescent="0.2">
      <c r="A3520" s="209" t="s">
        <v>175</v>
      </c>
      <c r="B3520" s="286"/>
      <c r="C3520" s="287" t="s">
        <v>79</v>
      </c>
      <c r="D3520" s="261"/>
      <c r="E3520" s="276">
        <v>68000</v>
      </c>
      <c r="F3520" s="222">
        <f>1/20</f>
        <v>0.05</v>
      </c>
      <c r="G3520" s="224">
        <f>F3520*E3520</f>
        <v>3400</v>
      </c>
    </row>
    <row r="3521" spans="1:9" s="1088" customFormat="1" ht="14.25" x14ac:dyDescent="0.2">
      <c r="A3521" s="209"/>
      <c r="B3521" s="275"/>
      <c r="C3521" s="260"/>
      <c r="D3521" s="261"/>
      <c r="E3521" s="276"/>
      <c r="F3521" s="222"/>
      <c r="G3521" s="224"/>
    </row>
    <row r="3522" spans="1:9" s="1088" customFormat="1" ht="14.25" x14ac:dyDescent="0.2">
      <c r="A3522" s="209"/>
      <c r="B3522" s="259"/>
      <c r="C3522" s="260"/>
      <c r="D3522" s="261"/>
      <c r="E3522" s="276"/>
      <c r="F3522" s="222"/>
      <c r="G3522" s="224"/>
    </row>
    <row r="3523" spans="1:9" s="1088" customFormat="1" ht="14.25" x14ac:dyDescent="0.2">
      <c r="A3523" s="209"/>
      <c r="B3523" s="259"/>
      <c r="C3523" s="260"/>
      <c r="D3523" s="261"/>
      <c r="E3523" s="276"/>
      <c r="F3523" s="222"/>
      <c r="G3523" s="224"/>
    </row>
    <row r="3524" spans="1:9" s="1088" customFormat="1" ht="14.25" x14ac:dyDescent="0.2">
      <c r="A3524" s="209"/>
      <c r="B3524" s="245"/>
      <c r="C3524" s="265"/>
      <c r="D3524" s="246"/>
      <c r="E3524" s="265"/>
      <c r="F3524" s="266"/>
      <c r="G3524" s="267"/>
    </row>
    <row r="3525" spans="1:9" s="1088" customFormat="1" ht="14.25" x14ac:dyDescent="0.2">
      <c r="A3525" s="249"/>
      <c r="B3525" s="250"/>
      <c r="C3525" s="252"/>
      <c r="D3525" s="251"/>
      <c r="E3525" s="252"/>
      <c r="F3525" s="254"/>
      <c r="G3525" s="268"/>
    </row>
    <row r="3526" spans="1:9" s="1088" customFormat="1" ht="15" x14ac:dyDescent="0.25">
      <c r="A3526" s="209"/>
      <c r="B3526" s="212"/>
      <c r="C3526" s="211"/>
      <c r="D3526" s="212"/>
      <c r="E3526" s="269"/>
      <c r="F3526" s="269" t="s">
        <v>121</v>
      </c>
      <c r="G3526" s="270">
        <f>+SUM(G3520:G3525)</f>
        <v>3400</v>
      </c>
    </row>
    <row r="3527" spans="1:9" s="1088" customFormat="1" ht="14.25" x14ac:dyDescent="0.2">
      <c r="A3527" s="209"/>
      <c r="B3527" s="212"/>
      <c r="C3527" s="211"/>
      <c r="D3527" s="212"/>
      <c r="E3527" s="213"/>
      <c r="F3527" s="214"/>
      <c r="G3527" s="271"/>
    </row>
    <row r="3528" spans="1:9" s="1088" customFormat="1" ht="15" x14ac:dyDescent="0.25">
      <c r="A3528" s="277"/>
      <c r="B3528" s="278"/>
      <c r="C3528" s="278"/>
      <c r="D3528" s="278"/>
      <c r="E3528" s="279"/>
      <c r="F3528" s="280" t="s">
        <v>137</v>
      </c>
      <c r="G3528" s="283">
        <f>+ROUND(G3496+G3506+G3515+G3526,0)</f>
        <v>23020</v>
      </c>
    </row>
    <row r="3529" spans="1:9" s="1088" customFormat="1" ht="14.25" x14ac:dyDescent="0.2"/>
    <row r="3530" spans="1:9" s="745" customFormat="1" ht="15" x14ac:dyDescent="0.25">
      <c r="A3530" s="298" t="s">
        <v>114</v>
      </c>
      <c r="B3530" s="1258" t="s">
        <v>1</v>
      </c>
      <c r="C3530" s="1258"/>
      <c r="D3530" s="1258"/>
      <c r="E3530" s="1258"/>
      <c r="F3530" s="1258"/>
      <c r="G3530" s="299" t="s">
        <v>2</v>
      </c>
    </row>
    <row r="3531" spans="1:9" s="745" customFormat="1" ht="43.5" customHeight="1" x14ac:dyDescent="0.25">
      <c r="A3531" s="340" t="str">
        <f>'FORMATO PROPUESTA ECONÓMICA'!A128</f>
        <v>10.3</v>
      </c>
      <c r="B3531" s="1277" t="str">
        <f>'FORMATO PROPUESTA ECONÓMICA'!B128</f>
        <v>Construccion de caja para Válvula (Incluye: Ladrillo macizo de 10x20x40, Tubería Sanitaria a Ø6", Adaptador de Limpieza a Ø6", concreto para marco y tapa) según Norma EPM esquema 1, especificación 707,</v>
      </c>
      <c r="C3531" s="1278"/>
      <c r="D3531" s="1278"/>
      <c r="E3531" s="1278"/>
      <c r="F3531" s="1279"/>
      <c r="G3531" s="300" t="str">
        <f>'FORMATO PROPUESTA ECONÓMICA'!C128</f>
        <v>und</v>
      </c>
    </row>
    <row r="3532" spans="1:9" s="745" customFormat="1" ht="15" x14ac:dyDescent="0.25">
      <c r="A3532" s="150"/>
      <c r="B3532" s="341"/>
      <c r="C3532" s="341"/>
      <c r="D3532" s="341"/>
      <c r="E3532" s="341"/>
      <c r="F3532" s="341"/>
      <c r="G3532" s="154"/>
    </row>
    <row r="3533" spans="1:9" s="745" customFormat="1" ht="15" x14ac:dyDescent="0.25">
      <c r="A3533" s="342" t="s">
        <v>115</v>
      </c>
      <c r="B3533" s="150"/>
      <c r="C3533" s="151"/>
      <c r="D3533" s="150"/>
      <c r="E3533" s="152"/>
      <c r="F3533" s="343"/>
      <c r="G3533" s="154"/>
    </row>
    <row r="3534" spans="1:9" s="745" customFormat="1" ht="15" x14ac:dyDescent="0.25">
      <c r="A3534" s="1349" t="s">
        <v>116</v>
      </c>
      <c r="B3534" s="1349"/>
      <c r="C3534" s="344" t="s">
        <v>117</v>
      </c>
      <c r="D3534" s="1078" t="s">
        <v>118</v>
      </c>
      <c r="E3534" s="345" t="s">
        <v>39</v>
      </c>
      <c r="F3534" s="1078" t="s">
        <v>119</v>
      </c>
      <c r="G3534" s="346" t="s">
        <v>120</v>
      </c>
      <c r="I3534" s="1093"/>
    </row>
    <row r="3535" spans="1:9" s="745" customFormat="1" ht="15" x14ac:dyDescent="0.25">
      <c r="A3535" s="1260" t="s">
        <v>183</v>
      </c>
      <c r="B3535" s="1260"/>
      <c r="C3535" s="313" t="s">
        <v>13</v>
      </c>
      <c r="D3535" s="312">
        <v>2000</v>
      </c>
      <c r="E3535" s="347">
        <v>4</v>
      </c>
      <c r="F3535" s="348"/>
      <c r="G3535" s="349">
        <f t="shared" ref="G3535:G3540" si="3">D3535*E3535</f>
        <v>8000</v>
      </c>
    </row>
    <row r="3536" spans="1:9" s="745" customFormat="1" ht="15" customHeight="1" x14ac:dyDescent="0.25">
      <c r="A3536" s="1260" t="s">
        <v>184</v>
      </c>
      <c r="B3536" s="1260"/>
      <c r="C3536" s="52" t="s">
        <v>15</v>
      </c>
      <c r="D3536" s="1094">
        <v>396373.39200000005</v>
      </c>
      <c r="E3536" s="1095">
        <v>0.15</v>
      </c>
      <c r="F3536" s="350">
        <v>0.05</v>
      </c>
      <c r="G3536" s="349">
        <f>D3536*(E3536+E3536*F3536)</f>
        <v>62428.80924000001</v>
      </c>
    </row>
    <row r="3537" spans="1:7" s="745" customFormat="1" ht="15" x14ac:dyDescent="0.25">
      <c r="A3537" s="1260" t="s">
        <v>185</v>
      </c>
      <c r="B3537" s="1260"/>
      <c r="C3537" s="313"/>
      <c r="D3537" s="1094">
        <f>39885*1.16</f>
        <v>46266.6</v>
      </c>
      <c r="E3537" s="1096">
        <v>1</v>
      </c>
      <c r="F3537" s="348"/>
      <c r="G3537" s="349">
        <f t="shared" si="3"/>
        <v>46266.6</v>
      </c>
    </row>
    <row r="3538" spans="1:7" s="745" customFormat="1" ht="15" x14ac:dyDescent="0.25">
      <c r="A3538" s="1356" t="s">
        <v>186</v>
      </c>
      <c r="B3538" s="1356"/>
      <c r="C3538" s="1097" t="s">
        <v>59</v>
      </c>
      <c r="D3538" s="312">
        <v>48086</v>
      </c>
      <c r="E3538" s="347">
        <v>1</v>
      </c>
      <c r="F3538" s="348"/>
      <c r="G3538" s="349">
        <f t="shared" si="3"/>
        <v>48086</v>
      </c>
    </row>
    <row r="3539" spans="1:7" s="745" customFormat="1" ht="15" x14ac:dyDescent="0.25">
      <c r="A3539" s="1348" t="s">
        <v>187</v>
      </c>
      <c r="B3539" s="1348"/>
      <c r="C3539" s="313" t="s">
        <v>13</v>
      </c>
      <c r="D3539" s="312">
        <v>51074</v>
      </c>
      <c r="E3539" s="347">
        <v>1</v>
      </c>
      <c r="F3539" s="348"/>
      <c r="G3539" s="349">
        <f t="shared" si="3"/>
        <v>51074</v>
      </c>
    </row>
    <row r="3540" spans="1:7" s="745" customFormat="1" ht="15" x14ac:dyDescent="0.25">
      <c r="A3540" s="1260"/>
      <c r="B3540" s="1260"/>
      <c r="C3540" s="318"/>
      <c r="D3540" s="314"/>
      <c r="E3540" s="347"/>
      <c r="F3540" s="351"/>
      <c r="G3540" s="349">
        <f t="shared" si="3"/>
        <v>0</v>
      </c>
    </row>
    <row r="3541" spans="1:7" s="745" customFormat="1" ht="14.25" customHeight="1" x14ac:dyDescent="0.25">
      <c r="A3541" s="1260"/>
      <c r="B3541" s="1260"/>
      <c r="C3541" s="352"/>
      <c r="D3541" s="314"/>
      <c r="E3541" s="347"/>
      <c r="F3541" s="351"/>
      <c r="G3541" s="349"/>
    </row>
    <row r="3542" spans="1:7" s="745" customFormat="1" ht="14.25" customHeight="1" x14ac:dyDescent="0.25">
      <c r="A3542" s="1077"/>
      <c r="B3542" s="1077"/>
      <c r="C3542" s="151"/>
      <c r="D3542" s="150"/>
      <c r="E3542" s="150"/>
      <c r="F3542" s="353" t="s">
        <v>121</v>
      </c>
      <c r="G3542" s="183">
        <f>+SUM(G3535:G3540)</f>
        <v>215855.40924000001</v>
      </c>
    </row>
    <row r="3543" spans="1:7" s="745" customFormat="1" ht="15" x14ac:dyDescent="0.25">
      <c r="A3543" s="150"/>
      <c r="B3543" s="150"/>
      <c r="C3543" s="151" t="s">
        <v>123</v>
      </c>
      <c r="D3543" s="150"/>
      <c r="E3543" s="152"/>
      <c r="F3543" s="343"/>
      <c r="G3543" s="154"/>
    </row>
    <row r="3544" spans="1:7" s="745" customFormat="1" ht="15" x14ac:dyDescent="0.25">
      <c r="A3544" s="342" t="s">
        <v>122</v>
      </c>
      <c r="B3544" s="150"/>
      <c r="C3544" s="151" t="s">
        <v>123</v>
      </c>
      <c r="D3544" s="150"/>
      <c r="E3544" s="152"/>
      <c r="F3544" s="343"/>
      <c r="G3544" s="154"/>
    </row>
    <row r="3545" spans="1:7" s="745" customFormat="1" ht="15" x14ac:dyDescent="0.25">
      <c r="A3545" s="150"/>
      <c r="B3545" s="150"/>
      <c r="C3545" s="151"/>
      <c r="D3545" s="150"/>
      <c r="E3545" s="152"/>
      <c r="F3545" s="343"/>
      <c r="G3545" s="154"/>
    </row>
    <row r="3546" spans="1:7" s="745" customFormat="1" ht="15" x14ac:dyDescent="0.25">
      <c r="A3546" s="1349" t="s">
        <v>116</v>
      </c>
      <c r="B3546" s="1349"/>
      <c r="C3546" s="344" t="s">
        <v>117</v>
      </c>
      <c r="D3546" s="1078" t="s">
        <v>124</v>
      </c>
      <c r="E3546" s="1078" t="s">
        <v>125</v>
      </c>
      <c r="F3546" s="354" t="s">
        <v>126</v>
      </c>
      <c r="G3546" s="346" t="s">
        <v>120</v>
      </c>
    </row>
    <row r="3547" spans="1:7" s="745" customFormat="1" ht="15" x14ac:dyDescent="0.25">
      <c r="A3547" s="1260" t="s">
        <v>127</v>
      </c>
      <c r="B3547" s="1260"/>
      <c r="C3547" s="318" t="s">
        <v>128</v>
      </c>
      <c r="D3547" s="312"/>
      <c r="E3547" s="355"/>
      <c r="F3547" s="331"/>
      <c r="G3547" s="356">
        <f>G3561*0.05</f>
        <v>2771.1992</v>
      </c>
    </row>
    <row r="3548" spans="1:7" s="745" customFormat="1" ht="15" x14ac:dyDescent="0.25">
      <c r="A3548" s="1260"/>
      <c r="B3548" s="1260"/>
      <c r="C3548" s="318"/>
      <c r="D3548" s="314"/>
      <c r="E3548" s="347"/>
      <c r="F3548" s="357"/>
      <c r="G3548" s="356">
        <f>F3548*D3548</f>
        <v>0</v>
      </c>
    </row>
    <row r="3549" spans="1:7" s="745" customFormat="1" ht="15" x14ac:dyDescent="0.25">
      <c r="A3549" s="1325"/>
      <c r="B3549" s="1325"/>
      <c r="C3549" s="313"/>
      <c r="D3549" s="183"/>
      <c r="E3549" s="358"/>
      <c r="F3549" s="331"/>
      <c r="G3549" s="356"/>
    </row>
    <row r="3550" spans="1:7" s="745" customFormat="1" ht="15" x14ac:dyDescent="0.25">
      <c r="A3550" s="150"/>
      <c r="B3550" s="343"/>
      <c r="C3550" s="359"/>
      <c r="D3550" s="183"/>
      <c r="E3550" s="358"/>
      <c r="F3550" s="331"/>
      <c r="G3550" s="360"/>
    </row>
    <row r="3551" spans="1:7" s="745" customFormat="1" ht="15" x14ac:dyDescent="0.25">
      <c r="A3551" s="150"/>
      <c r="B3551" s="343"/>
      <c r="C3551" s="359"/>
      <c r="D3551" s="361"/>
      <c r="E3551" s="358"/>
      <c r="F3551" s="343"/>
      <c r="G3551" s="362"/>
    </row>
    <row r="3552" spans="1:7" s="745" customFormat="1" ht="15" x14ac:dyDescent="0.25">
      <c r="A3552" s="150"/>
      <c r="B3552" s="343"/>
      <c r="C3552" s="359"/>
      <c r="D3552" s="343"/>
      <c r="E3552" s="150"/>
      <c r="F3552" s="353" t="s">
        <v>121</v>
      </c>
      <c r="G3552" s="360">
        <f>+SUM(G3547:G3551)</f>
        <v>2771.1992</v>
      </c>
    </row>
    <row r="3553" spans="1:7" s="745" customFormat="1" ht="15" x14ac:dyDescent="0.25">
      <c r="A3553" s="150"/>
      <c r="B3553" s="150"/>
      <c r="C3553" s="151"/>
      <c r="D3553" s="150"/>
      <c r="E3553" s="152"/>
      <c r="F3553" s="150"/>
      <c r="G3553" s="154"/>
    </row>
    <row r="3554" spans="1:7" s="745" customFormat="1" ht="15" x14ac:dyDescent="0.25">
      <c r="A3554" s="342" t="s">
        <v>130</v>
      </c>
      <c r="B3554" s="150"/>
      <c r="C3554" s="151"/>
      <c r="D3554" s="150"/>
      <c r="E3554" s="152"/>
      <c r="F3554" s="343"/>
      <c r="G3554" s="154"/>
    </row>
    <row r="3555" spans="1:7" s="745" customFormat="1" ht="15" x14ac:dyDescent="0.25">
      <c r="A3555" s="150"/>
      <c r="B3555" s="150"/>
      <c r="C3555" s="151"/>
      <c r="D3555" s="150"/>
      <c r="E3555" s="152"/>
      <c r="F3555" s="343"/>
      <c r="G3555" s="154"/>
    </row>
    <row r="3556" spans="1:7" s="745" customFormat="1" ht="15" x14ac:dyDescent="0.25">
      <c r="A3556" s="1349" t="s">
        <v>116</v>
      </c>
      <c r="B3556" s="1349"/>
      <c r="C3556" s="1078" t="s">
        <v>131</v>
      </c>
      <c r="D3556" s="344" t="s">
        <v>132</v>
      </c>
      <c r="E3556" s="1078" t="s">
        <v>133</v>
      </c>
      <c r="F3556" s="354" t="s">
        <v>126</v>
      </c>
      <c r="G3556" s="346" t="s">
        <v>134</v>
      </c>
    </row>
    <row r="3557" spans="1:7" s="745" customFormat="1" ht="15" x14ac:dyDescent="0.25">
      <c r="A3557" s="182" t="s">
        <v>10</v>
      </c>
      <c r="B3557" s="328"/>
      <c r="C3557" s="329">
        <f>M2</f>
        <v>22981.8</v>
      </c>
      <c r="D3557" s="363">
        <f>N2</f>
        <v>1.76</v>
      </c>
      <c r="E3557" s="183">
        <f>D3557*C3557</f>
        <v>40447.968000000001</v>
      </c>
      <c r="F3557" s="331">
        <f>1/2</f>
        <v>0.5</v>
      </c>
      <c r="G3557" s="183">
        <f>F3557*E3557</f>
        <v>20223.984</v>
      </c>
    </row>
    <row r="3558" spans="1:7" s="745" customFormat="1" ht="15" x14ac:dyDescent="0.25">
      <c r="A3558" s="182" t="s">
        <v>140</v>
      </c>
      <c r="B3558" s="328"/>
      <c r="C3558" s="329">
        <f>M3</f>
        <v>40000</v>
      </c>
      <c r="D3558" s="363">
        <f>N3</f>
        <v>1.76</v>
      </c>
      <c r="E3558" s="183">
        <f>D3558*C3558</f>
        <v>70400</v>
      </c>
      <c r="F3558" s="331">
        <f>1/2</f>
        <v>0.5</v>
      </c>
      <c r="G3558" s="183">
        <f>F3558*E3558</f>
        <v>35200</v>
      </c>
    </row>
    <row r="3559" spans="1:7" s="745" customFormat="1" ht="15" x14ac:dyDescent="0.25">
      <c r="A3559" s="150"/>
      <c r="B3559" s="343"/>
      <c r="C3559" s="361"/>
      <c r="D3559" s="359"/>
      <c r="E3559" s="361"/>
      <c r="F3559" s="343"/>
      <c r="G3559" s="361"/>
    </row>
    <row r="3560" spans="1:7" s="745" customFormat="1" ht="15" x14ac:dyDescent="0.25">
      <c r="A3560" s="150"/>
      <c r="B3560" s="343"/>
      <c r="C3560" s="361"/>
      <c r="D3560" s="359"/>
      <c r="E3560" s="361"/>
      <c r="F3560" s="343"/>
      <c r="G3560" s="361"/>
    </row>
    <row r="3561" spans="1:7" s="745" customFormat="1" ht="15" x14ac:dyDescent="0.25">
      <c r="A3561" s="150"/>
      <c r="B3561" s="150"/>
      <c r="C3561" s="151"/>
      <c r="D3561" s="150"/>
      <c r="E3561" s="353"/>
      <c r="F3561" s="353" t="s">
        <v>121</v>
      </c>
      <c r="G3561" s="183">
        <f>+SUM(G3557:G3560)</f>
        <v>55423.983999999997</v>
      </c>
    </row>
    <row r="3562" spans="1:7" s="745" customFormat="1" ht="15" x14ac:dyDescent="0.25">
      <c r="A3562" s="150"/>
      <c r="B3562" s="150"/>
      <c r="C3562" s="151"/>
      <c r="D3562" s="150"/>
      <c r="E3562" s="353"/>
      <c r="F3562" s="353"/>
      <c r="G3562" s="183"/>
    </row>
    <row r="3563" spans="1:7" s="745" customFormat="1" ht="15" x14ac:dyDescent="0.25">
      <c r="A3563" s="342" t="s">
        <v>135</v>
      </c>
      <c r="B3563" s="150"/>
      <c r="C3563" s="151"/>
      <c r="D3563" s="150"/>
      <c r="E3563" s="152"/>
      <c r="F3563" s="343"/>
      <c r="G3563" s="154"/>
    </row>
    <row r="3564" spans="1:7" s="745" customFormat="1" ht="15" x14ac:dyDescent="0.25">
      <c r="A3564" s="150"/>
      <c r="B3564" s="150"/>
      <c r="C3564" s="151"/>
      <c r="D3564" s="150"/>
      <c r="E3564" s="152"/>
      <c r="F3564" s="343"/>
      <c r="G3564" s="154"/>
    </row>
    <row r="3565" spans="1:7" s="745" customFormat="1" ht="15" x14ac:dyDescent="0.25">
      <c r="A3565" s="1349" t="s">
        <v>116</v>
      </c>
      <c r="B3565" s="1349"/>
      <c r="C3565" s="1078" t="s">
        <v>117</v>
      </c>
      <c r="D3565" s="344" t="s">
        <v>136</v>
      </c>
      <c r="E3565" s="1078" t="s">
        <v>124</v>
      </c>
      <c r="F3565" s="354" t="s">
        <v>126</v>
      </c>
      <c r="G3565" s="346" t="s">
        <v>134</v>
      </c>
    </row>
    <row r="3566" spans="1:7" s="745" customFormat="1" ht="15" x14ac:dyDescent="0.25">
      <c r="A3566" s="150" t="s">
        <v>175</v>
      </c>
      <c r="B3566" s="332"/>
      <c r="C3566" s="333" t="s">
        <v>7</v>
      </c>
      <c r="D3566" s="363"/>
      <c r="E3566" s="183">
        <f>20000*1.7*2</f>
        <v>68000</v>
      </c>
      <c r="F3566" s="331">
        <f>1/10</f>
        <v>0.1</v>
      </c>
      <c r="G3566" s="183">
        <f>F3566*E3566</f>
        <v>6800</v>
      </c>
    </row>
    <row r="3567" spans="1:7" s="745" customFormat="1" ht="15" x14ac:dyDescent="0.25">
      <c r="A3567" s="150"/>
      <c r="B3567" s="332"/>
      <c r="C3567" s="333"/>
      <c r="D3567" s="363"/>
      <c r="E3567" s="183"/>
      <c r="F3567" s="331"/>
      <c r="G3567" s="183"/>
    </row>
    <row r="3568" spans="1:7" s="745" customFormat="1" ht="15" x14ac:dyDescent="0.25">
      <c r="A3568" s="150"/>
      <c r="B3568" s="364"/>
      <c r="C3568" s="333"/>
      <c r="D3568" s="363"/>
      <c r="E3568" s="183"/>
      <c r="F3568" s="331"/>
      <c r="G3568" s="183"/>
    </row>
    <row r="3569" spans="1:7" s="745" customFormat="1" ht="15" x14ac:dyDescent="0.25">
      <c r="A3569" s="150"/>
      <c r="B3569" s="364"/>
      <c r="C3569" s="333"/>
      <c r="D3569" s="363"/>
      <c r="E3569" s="183"/>
      <c r="F3569" s="331"/>
      <c r="G3569" s="183"/>
    </row>
    <row r="3570" spans="1:7" s="745" customFormat="1" ht="15" x14ac:dyDescent="0.25">
      <c r="A3570" s="150"/>
      <c r="B3570" s="343"/>
      <c r="C3570" s="361"/>
      <c r="D3570" s="359"/>
      <c r="E3570" s="361"/>
      <c r="F3570" s="343"/>
      <c r="G3570" s="361"/>
    </row>
    <row r="3571" spans="1:7" s="745" customFormat="1" ht="15" x14ac:dyDescent="0.25">
      <c r="A3571" s="150"/>
      <c r="B3571" s="343"/>
      <c r="C3571" s="361"/>
      <c r="D3571" s="359"/>
      <c r="E3571" s="361"/>
      <c r="F3571" s="343"/>
      <c r="G3571" s="361"/>
    </row>
    <row r="3572" spans="1:7" s="745" customFormat="1" ht="15" x14ac:dyDescent="0.25">
      <c r="A3572" s="150"/>
      <c r="B3572" s="150"/>
      <c r="C3572" s="151"/>
      <c r="D3572" s="150"/>
      <c r="E3572" s="353"/>
      <c r="F3572" s="353" t="s">
        <v>121</v>
      </c>
      <c r="G3572" s="183">
        <f>+SUM(G3566:G3571)</f>
        <v>6800</v>
      </c>
    </row>
    <row r="3573" spans="1:7" s="745" customFormat="1" ht="15" x14ac:dyDescent="0.25">
      <c r="A3573" s="150"/>
      <c r="B3573" s="150"/>
      <c r="C3573" s="151"/>
      <c r="D3573" s="150"/>
      <c r="E3573" s="152"/>
      <c r="F3573" s="343"/>
      <c r="G3573" s="183"/>
    </row>
    <row r="3574" spans="1:7" s="745" customFormat="1" ht="15" x14ac:dyDescent="0.25">
      <c r="A3574" s="150"/>
      <c r="B3574" s="150"/>
      <c r="C3574" s="150"/>
      <c r="D3574" s="150"/>
      <c r="E3574" s="151"/>
      <c r="F3574" s="353" t="s">
        <v>137</v>
      </c>
      <c r="G3574" s="371">
        <f>ROUND((G3572+G3561+G3552+G3542),0)</f>
        <v>280851</v>
      </c>
    </row>
    <row r="3575" spans="1:7" s="745" customFormat="1" ht="15" x14ac:dyDescent="0.25">
      <c r="A3575" s="209"/>
      <c r="B3575" s="210"/>
      <c r="C3575" s="211"/>
      <c r="D3575" s="212"/>
      <c r="E3575" s="213"/>
      <c r="F3575" s="214"/>
      <c r="G3575" s="215"/>
    </row>
    <row r="3576" spans="1:7" s="1088" customFormat="1" ht="14.25" x14ac:dyDescent="0.2"/>
    <row r="3577" spans="1:7" s="745" customFormat="1" ht="15" x14ac:dyDescent="0.25">
      <c r="A3577" s="298" t="s">
        <v>114</v>
      </c>
      <c r="B3577" s="1258" t="s">
        <v>1</v>
      </c>
      <c r="C3577" s="1258"/>
      <c r="D3577" s="1258"/>
      <c r="E3577" s="1258"/>
      <c r="F3577" s="1258"/>
      <c r="G3577" s="299" t="s">
        <v>2</v>
      </c>
    </row>
    <row r="3578" spans="1:7" s="745" customFormat="1" ht="15" x14ac:dyDescent="0.25">
      <c r="A3578" s="33" t="str">
        <f>'FORMATO PROPUESTA ECONÓMICA'!A129</f>
        <v>10.4</v>
      </c>
      <c r="B3578" s="1259" t="str">
        <f>'FORMATO PROPUESTA ECONÓMICA'!B129</f>
        <v>S.T.C. de cinta señalización redes de acueducto</v>
      </c>
      <c r="C3578" s="1259"/>
      <c r="D3578" s="1259"/>
      <c r="E3578" s="1259"/>
      <c r="F3578" s="1259"/>
      <c r="G3578" s="33" t="str">
        <f>'FORMATO PROPUESTA ECONÓMICA'!C129</f>
        <v>m</v>
      </c>
    </row>
    <row r="3579" spans="1:7" s="745" customFormat="1" ht="15" x14ac:dyDescent="0.25">
      <c r="A3579" s="365"/>
      <c r="B3579" s="366"/>
      <c r="C3579" s="366"/>
      <c r="D3579" s="366"/>
      <c r="E3579" s="366"/>
      <c r="F3579" s="366"/>
      <c r="G3579" s="367"/>
    </row>
    <row r="3580" spans="1:7" s="745" customFormat="1" ht="15" x14ac:dyDescent="0.25">
      <c r="A3580" s="342" t="s">
        <v>115</v>
      </c>
      <c r="B3580" s="150"/>
      <c r="C3580" s="151"/>
      <c r="D3580" s="150"/>
      <c r="E3580" s="152"/>
      <c r="F3580" s="343"/>
      <c r="G3580" s="154"/>
    </row>
    <row r="3581" spans="1:7" s="745" customFormat="1" ht="15" customHeight="1" x14ac:dyDescent="0.25">
      <c r="A3581" s="150"/>
      <c r="B3581" s="150"/>
      <c r="C3581" s="151"/>
      <c r="D3581" s="150"/>
      <c r="E3581" s="152"/>
      <c r="F3581" s="343"/>
      <c r="G3581" s="154"/>
    </row>
    <row r="3582" spans="1:7" s="745" customFormat="1" ht="15" x14ac:dyDescent="0.25">
      <c r="A3582" s="1349" t="s">
        <v>116</v>
      </c>
      <c r="B3582" s="1349"/>
      <c r="C3582" s="344" t="s">
        <v>117</v>
      </c>
      <c r="D3582" s="1078" t="s">
        <v>118</v>
      </c>
      <c r="E3582" s="345" t="s">
        <v>39</v>
      </c>
      <c r="F3582" s="1078" t="s">
        <v>119</v>
      </c>
      <c r="G3582" s="346" t="s">
        <v>120</v>
      </c>
    </row>
    <row r="3583" spans="1:7" s="745" customFormat="1" ht="15" x14ac:dyDescent="0.25">
      <c r="A3583" s="1260" t="s">
        <v>188</v>
      </c>
      <c r="B3583" s="1260"/>
      <c r="C3583" s="318" t="s">
        <v>59</v>
      </c>
      <c r="D3583" s="314">
        <v>198</v>
      </c>
      <c r="E3583" s="368">
        <v>1</v>
      </c>
      <c r="F3583" s="369"/>
      <c r="G3583" s="349">
        <f>E3583*D3583</f>
        <v>198</v>
      </c>
    </row>
    <row r="3584" spans="1:7" s="745" customFormat="1" ht="15" x14ac:dyDescent="0.25">
      <c r="A3584" s="1260"/>
      <c r="B3584" s="1260"/>
      <c r="C3584" s="313"/>
      <c r="D3584" s="314"/>
      <c r="E3584" s="315"/>
      <c r="F3584" s="369"/>
      <c r="G3584" s="349">
        <f>D3584*E3584</f>
        <v>0</v>
      </c>
    </row>
    <row r="3585" spans="1:7" s="745" customFormat="1" ht="15" x14ac:dyDescent="0.25">
      <c r="A3585" s="1260"/>
      <c r="B3585" s="1260"/>
      <c r="C3585" s="313"/>
      <c r="D3585" s="314"/>
      <c r="E3585" s="315"/>
      <c r="F3585" s="369"/>
      <c r="G3585" s="349">
        <f>E3585*D3585</f>
        <v>0</v>
      </c>
    </row>
    <row r="3586" spans="1:7" s="745" customFormat="1" ht="15" x14ac:dyDescent="0.25">
      <c r="A3586" s="1260"/>
      <c r="B3586" s="1260"/>
      <c r="C3586" s="318"/>
      <c r="D3586" s="314"/>
      <c r="E3586" s="315"/>
      <c r="F3586" s="369"/>
      <c r="G3586" s="349">
        <f>E3586*D3586</f>
        <v>0</v>
      </c>
    </row>
    <row r="3587" spans="1:7" s="745" customFormat="1" ht="15" x14ac:dyDescent="0.25">
      <c r="A3587" s="1260"/>
      <c r="B3587" s="1260"/>
      <c r="C3587" s="313"/>
      <c r="D3587" s="314"/>
      <c r="E3587" s="315"/>
      <c r="F3587" s="316"/>
      <c r="G3587" s="349">
        <f>E3587*D3587</f>
        <v>0</v>
      </c>
    </row>
    <row r="3588" spans="1:7" s="745" customFormat="1" ht="15" x14ac:dyDescent="0.25">
      <c r="A3588" s="1260"/>
      <c r="B3588" s="1260"/>
      <c r="C3588" s="318"/>
      <c r="D3588" s="314"/>
      <c r="E3588" s="370"/>
      <c r="F3588" s="319"/>
      <c r="G3588" s="349"/>
    </row>
    <row r="3589" spans="1:7" s="745" customFormat="1" ht="15" x14ac:dyDescent="0.25">
      <c r="A3589" s="1077"/>
      <c r="B3589" s="1077"/>
      <c r="C3589" s="151"/>
      <c r="D3589" s="150"/>
      <c r="E3589" s="150"/>
      <c r="F3589" s="353" t="s">
        <v>121</v>
      </c>
      <c r="G3589" s="183">
        <f>+SUM(G3583:G3588)</f>
        <v>198</v>
      </c>
    </row>
    <row r="3590" spans="1:7" s="745" customFormat="1" ht="15" x14ac:dyDescent="0.25">
      <c r="A3590" s="150"/>
      <c r="B3590" s="150"/>
      <c r="C3590" s="151" t="s">
        <v>123</v>
      </c>
      <c r="D3590" s="150"/>
      <c r="E3590" s="152"/>
      <c r="F3590" s="343"/>
      <c r="G3590" s="154"/>
    </row>
    <row r="3591" spans="1:7" s="745" customFormat="1" ht="15" x14ac:dyDescent="0.25">
      <c r="A3591" s="342" t="s">
        <v>122</v>
      </c>
      <c r="B3591" s="150"/>
      <c r="C3591" s="151" t="s">
        <v>123</v>
      </c>
      <c r="D3591" s="150"/>
      <c r="E3591" s="152"/>
      <c r="F3591" s="343"/>
      <c r="G3591" s="154"/>
    </row>
    <row r="3592" spans="1:7" s="745" customFormat="1" ht="15" x14ac:dyDescent="0.25">
      <c r="A3592" s="150"/>
      <c r="B3592" s="150"/>
      <c r="C3592" s="151"/>
      <c r="D3592" s="150"/>
      <c r="E3592" s="152"/>
      <c r="F3592" s="343"/>
      <c r="G3592" s="154"/>
    </row>
    <row r="3593" spans="1:7" s="745" customFormat="1" ht="15" x14ac:dyDescent="0.25">
      <c r="A3593" s="1349" t="s">
        <v>116</v>
      </c>
      <c r="B3593" s="1349"/>
      <c r="C3593" s="344" t="s">
        <v>117</v>
      </c>
      <c r="D3593" s="1078" t="s">
        <v>124</v>
      </c>
      <c r="E3593" s="1078" t="s">
        <v>125</v>
      </c>
      <c r="F3593" s="354" t="s">
        <v>126</v>
      </c>
      <c r="G3593" s="346" t="s">
        <v>120</v>
      </c>
    </row>
    <row r="3594" spans="1:7" s="745" customFormat="1" ht="15" x14ac:dyDescent="0.25">
      <c r="A3594" s="1260" t="s">
        <v>127</v>
      </c>
      <c r="B3594" s="1260"/>
      <c r="C3594" s="318" t="s">
        <v>128</v>
      </c>
      <c r="D3594" s="312"/>
      <c r="E3594" s="355"/>
      <c r="F3594" s="331"/>
      <c r="G3594" s="356">
        <f>G3609*0.05+10</f>
        <v>58.836325000000002</v>
      </c>
    </row>
    <row r="3595" spans="1:7" s="745" customFormat="1" ht="15" x14ac:dyDescent="0.25">
      <c r="A3595" s="1324"/>
      <c r="B3595" s="1324"/>
      <c r="C3595" s="313" t="s">
        <v>11</v>
      </c>
      <c r="D3595" s="312"/>
      <c r="E3595" s="331"/>
      <c r="F3595" s="357"/>
      <c r="G3595" s="356"/>
    </row>
    <row r="3596" spans="1:7" s="745" customFormat="1" ht="15" x14ac:dyDescent="0.25">
      <c r="A3596" s="1325"/>
      <c r="B3596" s="1325"/>
      <c r="C3596" s="313"/>
      <c r="D3596" s="183"/>
      <c r="E3596" s="358"/>
      <c r="F3596" s="331"/>
      <c r="G3596" s="360"/>
    </row>
    <row r="3597" spans="1:7" s="745" customFormat="1" ht="14.25" customHeight="1" x14ac:dyDescent="0.25">
      <c r="A3597" s="150"/>
      <c r="B3597" s="343"/>
      <c r="C3597" s="359"/>
      <c r="D3597" s="183"/>
      <c r="E3597" s="358"/>
      <c r="F3597" s="331"/>
      <c r="G3597" s="360"/>
    </row>
    <row r="3598" spans="1:7" s="745" customFormat="1" ht="15" x14ac:dyDescent="0.25">
      <c r="A3598" s="150"/>
      <c r="B3598" s="343"/>
      <c r="C3598" s="359"/>
      <c r="D3598" s="361"/>
      <c r="E3598" s="358"/>
      <c r="F3598" s="343"/>
      <c r="G3598" s="362"/>
    </row>
    <row r="3599" spans="1:7" s="745" customFormat="1" ht="15" x14ac:dyDescent="0.25">
      <c r="A3599" s="150"/>
      <c r="B3599" s="343"/>
      <c r="C3599" s="359"/>
      <c r="D3599" s="343"/>
      <c r="E3599" s="150"/>
      <c r="F3599" s="353" t="s">
        <v>121</v>
      </c>
      <c r="G3599" s="360">
        <f>+SUM(G3594:G3598)</f>
        <v>58.836325000000002</v>
      </c>
    </row>
    <row r="3600" spans="1:7" s="745" customFormat="1" ht="15" x14ac:dyDescent="0.25">
      <c r="A3600" s="150"/>
      <c r="B3600" s="150"/>
      <c r="C3600" s="151"/>
      <c r="D3600" s="150"/>
      <c r="E3600" s="152"/>
      <c r="F3600" s="150"/>
      <c r="G3600" s="154"/>
    </row>
    <row r="3601" spans="1:7" s="745" customFormat="1" ht="15" x14ac:dyDescent="0.25">
      <c r="A3601" s="342" t="s">
        <v>130</v>
      </c>
      <c r="B3601" s="150"/>
      <c r="C3601" s="151"/>
      <c r="D3601" s="150"/>
      <c r="E3601" s="152"/>
      <c r="F3601" s="343"/>
      <c r="G3601" s="154"/>
    </row>
    <row r="3602" spans="1:7" s="745" customFormat="1" ht="15" x14ac:dyDescent="0.25">
      <c r="A3602" s="150"/>
      <c r="B3602" s="150"/>
      <c r="C3602" s="151"/>
      <c r="D3602" s="150"/>
      <c r="E3602" s="152"/>
      <c r="F3602" s="343"/>
      <c r="G3602" s="154"/>
    </row>
    <row r="3603" spans="1:7" s="745" customFormat="1" ht="15" x14ac:dyDescent="0.25">
      <c r="A3603" s="1349" t="s">
        <v>116</v>
      </c>
      <c r="B3603" s="1349"/>
      <c r="C3603" s="1078" t="s">
        <v>131</v>
      </c>
      <c r="D3603" s="344" t="s">
        <v>132</v>
      </c>
      <c r="E3603" s="1078" t="s">
        <v>133</v>
      </c>
      <c r="F3603" s="354" t="s">
        <v>126</v>
      </c>
      <c r="G3603" s="346" t="s">
        <v>134</v>
      </c>
    </row>
    <row r="3604" spans="1:7" s="745" customFormat="1" ht="15" x14ac:dyDescent="0.25">
      <c r="A3604" s="150" t="s">
        <v>10</v>
      </c>
      <c r="B3604" s="332"/>
      <c r="C3604" s="329">
        <f>M2</f>
        <v>22981.8</v>
      </c>
      <c r="D3604" s="330">
        <v>1.7</v>
      </c>
      <c r="E3604" s="183">
        <f>C3604*D3604</f>
        <v>39069.06</v>
      </c>
      <c r="F3604" s="331">
        <v>40</v>
      </c>
      <c r="G3604" s="183">
        <f>E3604/F3604</f>
        <v>976.72649999999999</v>
      </c>
    </row>
    <row r="3605" spans="1:7" s="745" customFormat="1" ht="15" x14ac:dyDescent="0.25">
      <c r="A3605" s="150"/>
      <c r="B3605" s="364"/>
      <c r="C3605" s="333"/>
      <c r="D3605" s="330"/>
      <c r="E3605" s="183"/>
      <c r="F3605" s="331"/>
      <c r="G3605" s="183"/>
    </row>
    <row r="3606" spans="1:7" s="745" customFormat="1" ht="15" x14ac:dyDescent="0.25">
      <c r="A3606" s="150"/>
      <c r="B3606" s="364"/>
      <c r="C3606" s="333"/>
      <c r="D3606" s="330"/>
      <c r="E3606" s="183"/>
      <c r="F3606" s="331"/>
      <c r="G3606" s="183"/>
    </row>
    <row r="3607" spans="1:7" s="745" customFormat="1" ht="15" x14ac:dyDescent="0.25">
      <c r="A3607" s="150"/>
      <c r="B3607" s="343"/>
      <c r="C3607" s="361"/>
      <c r="D3607" s="359"/>
      <c r="E3607" s="361"/>
      <c r="F3607" s="343"/>
      <c r="G3607" s="361"/>
    </row>
    <row r="3608" spans="1:7" s="745" customFormat="1" ht="15" x14ac:dyDescent="0.25">
      <c r="A3608" s="150"/>
      <c r="B3608" s="343"/>
      <c r="C3608" s="361"/>
      <c r="D3608" s="359"/>
      <c r="E3608" s="361"/>
      <c r="F3608" s="343"/>
      <c r="G3608" s="361"/>
    </row>
    <row r="3609" spans="1:7" s="745" customFormat="1" ht="15" x14ac:dyDescent="0.25">
      <c r="A3609" s="150"/>
      <c r="B3609" s="150"/>
      <c r="C3609" s="151"/>
      <c r="D3609" s="150"/>
      <c r="E3609" s="353"/>
      <c r="F3609" s="353" t="s">
        <v>121</v>
      </c>
      <c r="G3609" s="183">
        <f>+SUM(G3604:G3608)</f>
        <v>976.72649999999999</v>
      </c>
    </row>
    <row r="3610" spans="1:7" s="745" customFormat="1" ht="15" x14ac:dyDescent="0.25">
      <c r="A3610" s="150"/>
      <c r="B3610" s="150"/>
      <c r="C3610" s="151"/>
      <c r="D3610" s="150"/>
      <c r="E3610" s="353"/>
      <c r="F3610" s="353"/>
      <c r="G3610" s="183"/>
    </row>
    <row r="3611" spans="1:7" s="745" customFormat="1" ht="15" x14ac:dyDescent="0.25">
      <c r="A3611" s="342" t="s">
        <v>135</v>
      </c>
      <c r="B3611" s="150"/>
      <c r="C3611" s="151"/>
      <c r="D3611" s="150"/>
      <c r="E3611" s="152"/>
      <c r="F3611" s="343"/>
      <c r="G3611" s="154"/>
    </row>
    <row r="3612" spans="1:7" s="745" customFormat="1" ht="15" x14ac:dyDescent="0.25">
      <c r="A3612" s="150"/>
      <c r="B3612" s="150"/>
      <c r="C3612" s="151"/>
      <c r="D3612" s="150"/>
      <c r="E3612" s="152"/>
      <c r="F3612" s="343"/>
      <c r="G3612" s="154"/>
    </row>
    <row r="3613" spans="1:7" s="745" customFormat="1" ht="15" x14ac:dyDescent="0.25">
      <c r="A3613" s="1349" t="s">
        <v>116</v>
      </c>
      <c r="B3613" s="1349"/>
      <c r="C3613" s="1078" t="s">
        <v>117</v>
      </c>
      <c r="D3613" s="344" t="s">
        <v>136</v>
      </c>
      <c r="E3613" s="1078" t="s">
        <v>124</v>
      </c>
      <c r="F3613" s="354" t="s">
        <v>126</v>
      </c>
      <c r="G3613" s="346" t="s">
        <v>134</v>
      </c>
    </row>
    <row r="3614" spans="1:7" s="745" customFormat="1" ht="15" x14ac:dyDescent="0.25">
      <c r="A3614" s="150" t="s">
        <v>175</v>
      </c>
      <c r="B3614" s="332"/>
      <c r="C3614" s="333" t="s">
        <v>7</v>
      </c>
      <c r="D3614" s="330"/>
      <c r="E3614" s="183">
        <v>10000</v>
      </c>
      <c r="F3614" s="331">
        <v>0.01</v>
      </c>
      <c r="G3614" s="183">
        <f>F3614*E3614</f>
        <v>100</v>
      </c>
    </row>
    <row r="3615" spans="1:7" s="745" customFormat="1" ht="15" x14ac:dyDescent="0.25">
      <c r="A3615" s="150"/>
      <c r="B3615" s="332"/>
      <c r="C3615" s="333"/>
      <c r="D3615" s="330"/>
      <c r="E3615" s="183"/>
      <c r="F3615" s="331"/>
      <c r="G3615" s="183"/>
    </row>
    <row r="3616" spans="1:7" s="745" customFormat="1" ht="15" x14ac:dyDescent="0.25">
      <c r="A3616" s="150"/>
      <c r="B3616" s="343"/>
      <c r="C3616" s="361"/>
      <c r="D3616" s="359"/>
      <c r="E3616" s="361"/>
      <c r="F3616" s="343"/>
      <c r="G3616" s="361"/>
    </row>
    <row r="3617" spans="1:7" s="745" customFormat="1" ht="15" x14ac:dyDescent="0.25">
      <c r="A3617" s="150"/>
      <c r="B3617" s="343"/>
      <c r="C3617" s="361"/>
      <c r="D3617" s="359"/>
      <c r="E3617" s="361"/>
      <c r="F3617" s="343"/>
      <c r="G3617" s="361"/>
    </row>
    <row r="3618" spans="1:7" s="745" customFormat="1" ht="15" x14ac:dyDescent="0.25">
      <c r="A3618" s="150"/>
      <c r="B3618" s="150"/>
      <c r="C3618" s="151"/>
      <c r="D3618" s="150"/>
      <c r="E3618" s="353"/>
      <c r="F3618" s="353" t="s">
        <v>121</v>
      </c>
      <c r="G3618" s="183">
        <f>+SUM(G3614:G3617)</f>
        <v>100</v>
      </c>
    </row>
    <row r="3619" spans="1:7" s="745" customFormat="1" ht="15" x14ac:dyDescent="0.25">
      <c r="A3619" s="150"/>
      <c r="B3619" s="150"/>
      <c r="C3619" s="151"/>
      <c r="D3619" s="150"/>
      <c r="E3619" s="152"/>
      <c r="F3619" s="343"/>
      <c r="G3619" s="183"/>
    </row>
    <row r="3620" spans="1:7" s="745" customFormat="1" ht="15" x14ac:dyDescent="0.25">
      <c r="A3620" s="150"/>
      <c r="B3620" s="150"/>
      <c r="C3620" s="150"/>
      <c r="D3620" s="150"/>
      <c r="E3620" s="151"/>
      <c r="F3620" s="353" t="s">
        <v>137</v>
      </c>
      <c r="G3620" s="371">
        <f>+ROUND(G3589+G3599+G3609+G3618,0)</f>
        <v>1334</v>
      </c>
    </row>
    <row r="3621" spans="1:7" s="745" customFormat="1" ht="15" x14ac:dyDescent="0.25">
      <c r="A3621" s="209"/>
      <c r="B3621" s="210"/>
      <c r="C3621" s="211"/>
      <c r="D3621" s="212"/>
      <c r="E3621" s="213"/>
      <c r="F3621" s="214"/>
      <c r="G3621" s="215"/>
    </row>
    <row r="3622" spans="1:7" s="1088" customFormat="1" ht="15" x14ac:dyDescent="0.25">
      <c r="A3622" s="372" t="s">
        <v>160</v>
      </c>
      <c r="B3622" s="1357" t="s">
        <v>161</v>
      </c>
      <c r="C3622" s="1358"/>
      <c r="D3622" s="1358"/>
      <c r="E3622" s="1358"/>
      <c r="F3622" s="1359"/>
      <c r="G3622" s="373" t="s">
        <v>2</v>
      </c>
    </row>
    <row r="3623" spans="1:7" s="1088" customFormat="1" ht="15" x14ac:dyDescent="0.25">
      <c r="A3623" s="374">
        <f>'FORMATO PROPUESTA ECONÓMICA'!A130</f>
        <v>10.5</v>
      </c>
      <c r="B3623" s="1380" t="str">
        <f>'FORMATO PROPUESTA ECONÓMICA'!B130</f>
        <v>S.T.C. de Concreto f`c=21Mpa para apoyo de accesorios</v>
      </c>
      <c r="C3623" s="1381"/>
      <c r="D3623" s="1381"/>
      <c r="E3623" s="1381"/>
      <c r="F3623" s="1382"/>
      <c r="G3623" s="375" t="str">
        <f>'FORMATO PROPUESTA ECONÓMICA'!C130</f>
        <v>m3</v>
      </c>
    </row>
    <row r="3624" spans="1:7" s="1088" customFormat="1" ht="15" x14ac:dyDescent="0.2">
      <c r="A3624" s="58"/>
      <c r="B3624" s="376"/>
      <c r="C3624" s="376"/>
      <c r="D3624" s="376"/>
      <c r="E3624" s="376"/>
      <c r="F3624" s="376"/>
      <c r="G3624" s="57"/>
    </row>
    <row r="3625" spans="1:7" s="1088" customFormat="1" ht="15" x14ac:dyDescent="0.25">
      <c r="A3625" s="377" t="s">
        <v>115</v>
      </c>
      <c r="B3625" s="54"/>
      <c r="C3625" s="55"/>
      <c r="D3625" s="54"/>
      <c r="E3625" s="56"/>
      <c r="F3625" s="378"/>
      <c r="G3625" s="57"/>
    </row>
    <row r="3626" spans="1:7" s="1088" customFormat="1" ht="15" customHeight="1" x14ac:dyDescent="0.2">
      <c r="A3626" s="58"/>
      <c r="B3626" s="54"/>
      <c r="C3626" s="55"/>
      <c r="D3626" s="54"/>
      <c r="E3626" s="56"/>
      <c r="F3626" s="378"/>
      <c r="G3626" s="57"/>
    </row>
    <row r="3627" spans="1:7" s="1088" customFormat="1" ht="15" x14ac:dyDescent="0.25">
      <c r="A3627" s="1383" t="s">
        <v>116</v>
      </c>
      <c r="B3627" s="1384"/>
      <c r="C3627" s="379" t="s">
        <v>117</v>
      </c>
      <c r="D3627" s="1078" t="s">
        <v>118</v>
      </c>
      <c r="E3627" s="380" t="s">
        <v>39</v>
      </c>
      <c r="F3627" s="1078" t="s">
        <v>119</v>
      </c>
      <c r="G3627" s="381" t="s">
        <v>120</v>
      </c>
    </row>
    <row r="3628" spans="1:7" s="1088" customFormat="1" ht="14.25" x14ac:dyDescent="0.2">
      <c r="A3628" s="1306" t="s">
        <v>184</v>
      </c>
      <c r="B3628" s="1307"/>
      <c r="C3628" s="382" t="s">
        <v>15</v>
      </c>
      <c r="D3628" s="383">
        <v>396373.39200000005</v>
      </c>
      <c r="E3628" s="384">
        <v>1</v>
      </c>
      <c r="F3628" s="385"/>
      <c r="G3628" s="386">
        <f t="shared" ref="G3628:G3633" si="4">D3628*E3628</f>
        <v>396373.39200000005</v>
      </c>
    </row>
    <row r="3629" spans="1:7" s="1088" customFormat="1" ht="14.25" x14ac:dyDescent="0.2">
      <c r="A3629" s="1333" t="s">
        <v>52</v>
      </c>
      <c r="B3629" s="1309"/>
      <c r="C3629" s="1098" t="s">
        <v>15</v>
      </c>
      <c r="D3629" s="383">
        <v>25000</v>
      </c>
      <c r="E3629" s="387">
        <v>0.25</v>
      </c>
      <c r="F3629" s="388"/>
      <c r="G3629" s="386">
        <f t="shared" si="4"/>
        <v>6250</v>
      </c>
    </row>
    <row r="3630" spans="1:7" s="1088" customFormat="1" ht="15" customHeight="1" x14ac:dyDescent="0.2">
      <c r="A3630" s="1333" t="s">
        <v>189</v>
      </c>
      <c r="B3630" s="1309"/>
      <c r="C3630" s="243" t="s">
        <v>9</v>
      </c>
      <c r="D3630" s="383">
        <v>3800</v>
      </c>
      <c r="E3630" s="387">
        <v>25</v>
      </c>
      <c r="F3630" s="385"/>
      <c r="G3630" s="389">
        <f t="shared" si="4"/>
        <v>95000</v>
      </c>
    </row>
    <row r="3631" spans="1:7" s="1088" customFormat="1" ht="15" customHeight="1" x14ac:dyDescent="0.2">
      <c r="A3631" s="1385"/>
      <c r="B3631" s="1386"/>
      <c r="C3631" s="1099"/>
      <c r="D3631" s="390"/>
      <c r="E3631" s="387"/>
      <c r="F3631" s="385"/>
      <c r="G3631" s="389">
        <f t="shared" si="4"/>
        <v>0</v>
      </c>
    </row>
    <row r="3632" spans="1:7" s="1088" customFormat="1" ht="15" customHeight="1" x14ac:dyDescent="0.2">
      <c r="A3632" s="1387"/>
      <c r="B3632" s="1255"/>
      <c r="C3632" s="243"/>
      <c r="D3632" s="390"/>
      <c r="E3632" s="387"/>
      <c r="F3632" s="385"/>
      <c r="G3632" s="389">
        <f t="shared" si="4"/>
        <v>0</v>
      </c>
    </row>
    <row r="3633" spans="1:7" s="1088" customFormat="1" ht="15" customHeight="1" x14ac:dyDescent="0.2">
      <c r="A3633" s="1333"/>
      <c r="B3633" s="1309"/>
      <c r="C3633" s="391"/>
      <c r="D3633" s="392"/>
      <c r="E3633" s="387"/>
      <c r="F3633" s="393"/>
      <c r="G3633" s="389">
        <f t="shared" si="4"/>
        <v>0</v>
      </c>
    </row>
    <row r="3634" spans="1:7" s="1088" customFormat="1" ht="15" customHeight="1" x14ac:dyDescent="0.2">
      <c r="A3634" s="1310"/>
      <c r="B3634" s="1311"/>
      <c r="C3634" s="394"/>
      <c r="D3634" s="395"/>
      <c r="E3634" s="396"/>
      <c r="F3634" s="397"/>
      <c r="G3634" s="398"/>
    </row>
    <row r="3635" spans="1:7" s="1088" customFormat="1" ht="15" x14ac:dyDescent="0.25">
      <c r="A3635" s="1061"/>
      <c r="B3635" s="77"/>
      <c r="C3635" s="55"/>
      <c r="D3635" s="54"/>
      <c r="E3635" s="54"/>
      <c r="F3635" s="399" t="s">
        <v>121</v>
      </c>
      <c r="G3635" s="400">
        <f>+SUM(G3628:G3633)</f>
        <v>497623.39200000005</v>
      </c>
    </row>
    <row r="3636" spans="1:7" s="1088" customFormat="1" ht="14.25" x14ac:dyDescent="0.2">
      <c r="A3636" s="58"/>
      <c r="B3636" s="54"/>
      <c r="C3636" s="55" t="s">
        <v>123</v>
      </c>
      <c r="D3636" s="54"/>
      <c r="E3636" s="56"/>
      <c r="F3636" s="378"/>
      <c r="G3636" s="57"/>
    </row>
    <row r="3637" spans="1:7" s="1088" customFormat="1" ht="15" x14ac:dyDescent="0.25">
      <c r="A3637" s="377" t="s">
        <v>122</v>
      </c>
      <c r="B3637" s="54"/>
      <c r="C3637" s="55" t="s">
        <v>123</v>
      </c>
      <c r="D3637" s="54"/>
      <c r="E3637" s="56"/>
      <c r="F3637" s="378"/>
      <c r="G3637" s="57"/>
    </row>
    <row r="3638" spans="1:7" s="1088" customFormat="1" ht="14.25" x14ac:dyDescent="0.2">
      <c r="A3638" s="58"/>
      <c r="B3638" s="54"/>
      <c r="C3638" s="55"/>
      <c r="D3638" s="54"/>
      <c r="E3638" s="56"/>
      <c r="F3638" s="378"/>
      <c r="G3638" s="57"/>
    </row>
    <row r="3639" spans="1:7" s="1088" customFormat="1" ht="15" x14ac:dyDescent="0.25">
      <c r="A3639" s="1378" t="s">
        <v>116</v>
      </c>
      <c r="B3639" s="1379"/>
      <c r="C3639" s="401" t="s">
        <v>117</v>
      </c>
      <c r="D3639" s="402" t="s">
        <v>124</v>
      </c>
      <c r="E3639" s="402" t="s">
        <v>125</v>
      </c>
      <c r="F3639" s="403" t="s">
        <v>126</v>
      </c>
      <c r="G3639" s="404" t="s">
        <v>120</v>
      </c>
    </row>
    <row r="3640" spans="1:7" s="1088" customFormat="1" ht="14.25" x14ac:dyDescent="0.2">
      <c r="A3640" s="1362" t="s">
        <v>127</v>
      </c>
      <c r="B3640" s="1363"/>
      <c r="C3640" s="239" t="s">
        <v>128</v>
      </c>
      <c r="D3640" s="240"/>
      <c r="E3640" s="405"/>
      <c r="F3640" s="274"/>
      <c r="G3640" s="406">
        <f>G3654*0.05</f>
        <v>1847.4661333333331</v>
      </c>
    </row>
    <row r="3641" spans="1:7" s="1088" customFormat="1" ht="14.25" x14ac:dyDescent="0.2">
      <c r="A3641" s="1333"/>
      <c r="B3641" s="1309"/>
      <c r="C3641" s="391"/>
      <c r="D3641" s="392"/>
      <c r="E3641" s="387"/>
      <c r="F3641" s="407"/>
      <c r="G3641" s="406">
        <f>F3641*D3641</f>
        <v>0</v>
      </c>
    </row>
    <row r="3642" spans="1:7" s="1088" customFormat="1" ht="15" customHeight="1" x14ac:dyDescent="0.2">
      <c r="A3642" s="1312"/>
      <c r="B3642" s="1313"/>
      <c r="C3642" s="243"/>
      <c r="D3642" s="408"/>
      <c r="E3642" s="409"/>
      <c r="F3642" s="274"/>
      <c r="G3642" s="406"/>
    </row>
    <row r="3643" spans="1:7" s="1088" customFormat="1" ht="14.25" x14ac:dyDescent="0.2">
      <c r="A3643" s="58"/>
      <c r="B3643" s="410"/>
      <c r="C3643" s="411"/>
      <c r="D3643" s="408"/>
      <c r="E3643" s="412"/>
      <c r="F3643" s="274"/>
      <c r="G3643" s="413"/>
    </row>
    <row r="3644" spans="1:7" s="1088" customFormat="1" ht="14.25" x14ac:dyDescent="0.2">
      <c r="A3644" s="414"/>
      <c r="B3644" s="415"/>
      <c r="C3644" s="416"/>
      <c r="D3644" s="417"/>
      <c r="E3644" s="418"/>
      <c r="F3644" s="419"/>
      <c r="G3644" s="420"/>
    </row>
    <row r="3645" spans="1:7" s="1088" customFormat="1" ht="15" x14ac:dyDescent="0.25">
      <c r="A3645" s="58"/>
      <c r="B3645" s="378"/>
      <c r="C3645" s="421"/>
      <c r="D3645" s="378"/>
      <c r="E3645" s="54"/>
      <c r="F3645" s="422" t="s">
        <v>121</v>
      </c>
      <c r="G3645" s="360">
        <f>+SUM(G3640:G3644)</f>
        <v>1847.4661333333331</v>
      </c>
    </row>
    <row r="3646" spans="1:7" s="1088" customFormat="1" ht="14.25" x14ac:dyDescent="0.2">
      <c r="A3646" s="58"/>
      <c r="B3646" s="54"/>
      <c r="C3646" s="55"/>
      <c r="D3646" s="54"/>
      <c r="E3646" s="56"/>
      <c r="F3646" s="54"/>
      <c r="G3646" s="57"/>
    </row>
    <row r="3647" spans="1:7" s="1088" customFormat="1" ht="15" x14ac:dyDescent="0.25">
      <c r="A3647" s="377" t="s">
        <v>130</v>
      </c>
      <c r="B3647" s="54"/>
      <c r="C3647" s="55"/>
      <c r="D3647" s="54"/>
      <c r="E3647" s="56"/>
      <c r="F3647" s="378"/>
      <c r="G3647" s="57"/>
    </row>
    <row r="3648" spans="1:7" s="1088" customFormat="1" ht="14.25" x14ac:dyDescent="0.2">
      <c r="A3648" s="58"/>
      <c r="B3648" s="54"/>
      <c r="C3648" s="55"/>
      <c r="D3648" s="54"/>
      <c r="E3648" s="56"/>
      <c r="F3648" s="378"/>
      <c r="G3648" s="57"/>
    </row>
    <row r="3649" spans="1:7" s="1088" customFormat="1" ht="15" x14ac:dyDescent="0.25">
      <c r="A3649" s="1378" t="s">
        <v>116</v>
      </c>
      <c r="B3649" s="1379"/>
      <c r="C3649" s="402" t="s">
        <v>131</v>
      </c>
      <c r="D3649" s="401" t="s">
        <v>132</v>
      </c>
      <c r="E3649" s="402" t="s">
        <v>133</v>
      </c>
      <c r="F3649" s="403" t="s">
        <v>126</v>
      </c>
      <c r="G3649" s="404" t="s">
        <v>134</v>
      </c>
    </row>
    <row r="3650" spans="1:7" s="1088" customFormat="1" ht="14.25" x14ac:dyDescent="0.2">
      <c r="A3650" s="209" t="s">
        <v>10</v>
      </c>
      <c r="B3650" s="259"/>
      <c r="C3650" s="260">
        <f>M2</f>
        <v>22981.8</v>
      </c>
      <c r="D3650" s="423">
        <f>N2</f>
        <v>1.76</v>
      </c>
      <c r="E3650" s="262">
        <f>D3650*C3650</f>
        <v>40447.968000000001</v>
      </c>
      <c r="F3650" s="274">
        <f>1/3</f>
        <v>0.33333333333333331</v>
      </c>
      <c r="G3650" s="264">
        <f>F3650*E3650</f>
        <v>13482.655999999999</v>
      </c>
    </row>
    <row r="3651" spans="1:7" s="1088" customFormat="1" ht="14.25" x14ac:dyDescent="0.2">
      <c r="A3651" s="209" t="s">
        <v>140</v>
      </c>
      <c r="B3651" s="259"/>
      <c r="C3651" s="260">
        <f>M3</f>
        <v>40000</v>
      </c>
      <c r="D3651" s="423">
        <f>N3</f>
        <v>1.76</v>
      </c>
      <c r="E3651" s="262">
        <f>D3651*C3651</f>
        <v>70400</v>
      </c>
      <c r="F3651" s="274">
        <f>1/3</f>
        <v>0.33333333333333331</v>
      </c>
      <c r="G3651" s="264">
        <f>F3651*E3651</f>
        <v>23466.666666666664</v>
      </c>
    </row>
    <row r="3652" spans="1:7" s="1088" customFormat="1" ht="14.25" x14ac:dyDescent="0.2">
      <c r="A3652" s="58"/>
      <c r="B3652" s="410"/>
      <c r="C3652" s="424"/>
      <c r="D3652" s="411"/>
      <c r="E3652" s="424"/>
      <c r="F3652" s="425"/>
      <c r="G3652" s="426"/>
    </row>
    <row r="3653" spans="1:7" s="1088" customFormat="1" ht="14.25" x14ac:dyDescent="0.2">
      <c r="A3653" s="414"/>
      <c r="B3653" s="415"/>
      <c r="C3653" s="417"/>
      <c r="D3653" s="416"/>
      <c r="E3653" s="417"/>
      <c r="F3653" s="419"/>
      <c r="G3653" s="427"/>
    </row>
    <row r="3654" spans="1:7" s="1088" customFormat="1" ht="15" x14ac:dyDescent="0.25">
      <c r="A3654" s="58"/>
      <c r="B3654" s="54"/>
      <c r="C3654" s="55"/>
      <c r="D3654" s="54"/>
      <c r="E3654" s="428"/>
      <c r="F3654" s="428" t="s">
        <v>121</v>
      </c>
      <c r="G3654" s="429">
        <f>+SUM(G3650:G3653)</f>
        <v>36949.32266666666</v>
      </c>
    </row>
    <row r="3655" spans="1:7" s="1088" customFormat="1" ht="15" x14ac:dyDescent="0.25">
      <c r="A3655" s="58"/>
      <c r="B3655" s="54"/>
      <c r="C3655" s="55"/>
      <c r="D3655" s="54"/>
      <c r="E3655" s="422"/>
      <c r="F3655" s="422"/>
      <c r="G3655" s="430"/>
    </row>
    <row r="3656" spans="1:7" s="1088" customFormat="1" ht="15" x14ac:dyDescent="0.25">
      <c r="A3656" s="377" t="s">
        <v>135</v>
      </c>
      <c r="B3656" s="54"/>
      <c r="C3656" s="55"/>
      <c r="D3656" s="54"/>
      <c r="E3656" s="56"/>
      <c r="F3656" s="378"/>
      <c r="G3656" s="57"/>
    </row>
    <row r="3657" spans="1:7" s="1088" customFormat="1" ht="14.25" x14ac:dyDescent="0.2">
      <c r="A3657" s="58"/>
      <c r="B3657" s="54"/>
      <c r="C3657" s="55"/>
      <c r="D3657" s="54"/>
      <c r="E3657" s="56"/>
      <c r="F3657" s="378"/>
      <c r="G3657" s="57"/>
    </row>
    <row r="3658" spans="1:7" s="1088" customFormat="1" ht="15" x14ac:dyDescent="0.25">
      <c r="A3658" s="1378" t="s">
        <v>116</v>
      </c>
      <c r="B3658" s="1379"/>
      <c r="C3658" s="402" t="s">
        <v>117</v>
      </c>
      <c r="D3658" s="401" t="s">
        <v>136</v>
      </c>
      <c r="E3658" s="402" t="s">
        <v>124</v>
      </c>
      <c r="F3658" s="403" t="s">
        <v>126</v>
      </c>
      <c r="G3658" s="404" t="s">
        <v>134</v>
      </c>
    </row>
    <row r="3659" spans="1:7" s="1088" customFormat="1" ht="14.25" x14ac:dyDescent="0.2">
      <c r="A3659" s="58" t="s">
        <v>175</v>
      </c>
      <c r="B3659" s="272"/>
      <c r="C3659" s="273" t="s">
        <v>7</v>
      </c>
      <c r="D3659" s="423"/>
      <c r="E3659" s="262">
        <f>20000*1.7*2</f>
        <v>68000</v>
      </c>
      <c r="F3659" s="274">
        <f>1/18</f>
        <v>5.5555555555555552E-2</v>
      </c>
      <c r="G3659" s="264">
        <f>F3659*E3659</f>
        <v>3777.7777777777774</v>
      </c>
    </row>
    <row r="3660" spans="1:7" s="1088" customFormat="1" ht="14.25" x14ac:dyDescent="0.2">
      <c r="A3660" s="58"/>
      <c r="B3660" s="431"/>
      <c r="C3660" s="273"/>
      <c r="D3660" s="423"/>
      <c r="E3660" s="262"/>
      <c r="F3660" s="274"/>
      <c r="G3660" s="264"/>
    </row>
    <row r="3661" spans="1:7" s="1088" customFormat="1" ht="14.25" x14ac:dyDescent="0.2">
      <c r="A3661" s="58"/>
      <c r="B3661" s="432"/>
      <c r="C3661" s="273"/>
      <c r="D3661" s="423"/>
      <c r="E3661" s="262"/>
      <c r="F3661" s="274"/>
      <c r="G3661" s="264"/>
    </row>
    <row r="3662" spans="1:7" s="1088" customFormat="1" ht="14.25" x14ac:dyDescent="0.2">
      <c r="A3662" s="58"/>
      <c r="B3662" s="432"/>
      <c r="C3662" s="273"/>
      <c r="D3662" s="423"/>
      <c r="E3662" s="262"/>
      <c r="F3662" s="274"/>
      <c r="G3662" s="264"/>
    </row>
    <row r="3663" spans="1:7" s="1088" customFormat="1" ht="14.25" x14ac:dyDescent="0.2">
      <c r="A3663" s="58"/>
      <c r="B3663" s="410"/>
      <c r="C3663" s="424"/>
      <c r="D3663" s="411"/>
      <c r="E3663" s="424"/>
      <c r="F3663" s="425"/>
      <c r="G3663" s="426"/>
    </row>
    <row r="3664" spans="1:7" s="1088" customFormat="1" ht="14.25" x14ac:dyDescent="0.2">
      <c r="A3664" s="414"/>
      <c r="B3664" s="415"/>
      <c r="C3664" s="417"/>
      <c r="D3664" s="416"/>
      <c r="E3664" s="417"/>
      <c r="F3664" s="419"/>
      <c r="G3664" s="427"/>
    </row>
    <row r="3665" spans="1:7" s="1088" customFormat="1" ht="15" x14ac:dyDescent="0.25">
      <c r="A3665" s="58"/>
      <c r="B3665" s="54"/>
      <c r="C3665" s="55"/>
      <c r="D3665" s="54"/>
      <c r="E3665" s="428"/>
      <c r="F3665" s="428" t="s">
        <v>121</v>
      </c>
      <c r="G3665" s="429">
        <f>+SUM(G3659:G3664)</f>
        <v>3777.7777777777774</v>
      </c>
    </row>
    <row r="3666" spans="1:7" s="1088" customFormat="1" ht="14.25" x14ac:dyDescent="0.2">
      <c r="A3666" s="58"/>
      <c r="B3666" s="54"/>
      <c r="C3666" s="55"/>
      <c r="D3666" s="54"/>
      <c r="E3666" s="56"/>
      <c r="F3666" s="378"/>
      <c r="G3666" s="430"/>
    </row>
    <row r="3667" spans="1:7" s="1088" customFormat="1" ht="15" x14ac:dyDescent="0.25">
      <c r="A3667" s="120"/>
      <c r="B3667" s="121"/>
      <c r="C3667" s="121"/>
      <c r="D3667" s="121"/>
      <c r="E3667" s="123"/>
      <c r="F3667" s="433" t="s">
        <v>137</v>
      </c>
      <c r="G3667" s="371">
        <f>ROUND(G3665+G3654+G3645+G3635,0)</f>
        <v>540198</v>
      </c>
    </row>
    <row r="3668" spans="1:7" s="1088" customFormat="1" ht="15" x14ac:dyDescent="0.25">
      <c r="A3668" s="120"/>
      <c r="B3668" s="121"/>
      <c r="C3668" s="121"/>
      <c r="D3668" s="121"/>
      <c r="E3668" s="123"/>
      <c r="F3668" s="433"/>
      <c r="G3668" s="433"/>
    </row>
    <row r="3669" spans="1:7" s="745" customFormat="1" ht="15" x14ac:dyDescent="0.25">
      <c r="A3669" s="298" t="s">
        <v>114</v>
      </c>
      <c r="B3669" s="1258" t="s">
        <v>1</v>
      </c>
      <c r="C3669" s="1258"/>
      <c r="D3669" s="1258"/>
      <c r="E3669" s="1258"/>
      <c r="F3669" s="1258"/>
      <c r="G3669" s="299" t="s">
        <v>2</v>
      </c>
    </row>
    <row r="3670" spans="1:7" s="745" customFormat="1" ht="34.5" customHeight="1" x14ac:dyDescent="0.25">
      <c r="A3670" s="38">
        <f>'FORMATO PROPUESTA ECONÓMICA'!A131</f>
        <v>10.6</v>
      </c>
      <c r="B3670" s="1259" t="str">
        <f>'FORMATO PROPUESTA ECONÓMICA'!B131</f>
        <v>Suministro, transporte, figuración y colocación de Acero de refuerzo de Fy = 420 Mpa, 60000psi, para andenes en concreto.</v>
      </c>
      <c r="C3670" s="1259"/>
      <c r="D3670" s="1259"/>
      <c r="E3670" s="1259"/>
      <c r="F3670" s="1259"/>
      <c r="G3670" s="33" t="str">
        <f>'FORMATO PROPUESTA ECONÓMICA'!C131</f>
        <v>Kg</v>
      </c>
    </row>
    <row r="3671" spans="1:7" s="745" customFormat="1" ht="15" x14ac:dyDescent="0.25">
      <c r="A3671" s="150"/>
      <c r="B3671" s="1077"/>
      <c r="C3671" s="151"/>
      <c r="D3671" s="150"/>
      <c r="E3671" s="152"/>
      <c r="F3671" s="153"/>
      <c r="G3671" s="154"/>
    </row>
    <row r="3672" spans="1:7" s="745" customFormat="1" ht="15" x14ac:dyDescent="0.25">
      <c r="A3672" s="149" t="s">
        <v>115</v>
      </c>
      <c r="B3672" s="150"/>
      <c r="C3672" s="151"/>
      <c r="D3672" s="150"/>
      <c r="E3672" s="152"/>
      <c r="F3672" s="153"/>
      <c r="G3672" s="154"/>
    </row>
    <row r="3673" spans="1:7" s="745" customFormat="1" ht="15" customHeight="1" x14ac:dyDescent="0.25">
      <c r="A3673" s="150"/>
      <c r="B3673" s="150"/>
      <c r="C3673" s="151"/>
      <c r="D3673" s="150"/>
      <c r="E3673" s="152"/>
      <c r="F3673" s="153"/>
      <c r="G3673" s="154"/>
    </row>
    <row r="3674" spans="1:7" s="745" customFormat="1" ht="15" x14ac:dyDescent="0.25">
      <c r="A3674" s="1258" t="s">
        <v>116</v>
      </c>
      <c r="B3674" s="1258"/>
      <c r="C3674" s="155" t="s">
        <v>117</v>
      </c>
      <c r="D3674" s="1062" t="s">
        <v>118</v>
      </c>
      <c r="E3674" s="157" t="s">
        <v>39</v>
      </c>
      <c r="F3674" s="1062" t="s">
        <v>119</v>
      </c>
      <c r="G3674" s="158" t="s">
        <v>120</v>
      </c>
    </row>
    <row r="3675" spans="1:7" s="745" customFormat="1" ht="15" x14ac:dyDescent="0.25">
      <c r="A3675" s="1260" t="s">
        <v>190</v>
      </c>
      <c r="B3675" s="1260"/>
      <c r="C3675" s="159" t="s">
        <v>9</v>
      </c>
      <c r="D3675" s="160">
        <v>2800</v>
      </c>
      <c r="E3675" s="161">
        <v>1</v>
      </c>
      <c r="F3675" s="434">
        <v>0.05</v>
      </c>
      <c r="G3675" s="163">
        <f>+E3675*D3675*(1+F3675)</f>
        <v>2940</v>
      </c>
    </row>
    <row r="3676" spans="1:7" s="745" customFormat="1" ht="15" x14ac:dyDescent="0.25">
      <c r="A3676" s="1260" t="s">
        <v>191</v>
      </c>
      <c r="B3676" s="1260"/>
      <c r="C3676" s="159" t="s">
        <v>9</v>
      </c>
      <c r="D3676" s="160">
        <v>2500</v>
      </c>
      <c r="E3676" s="161">
        <v>4.4999999999999998E-2</v>
      </c>
      <c r="F3676" s="434"/>
      <c r="G3676" s="163">
        <f>+E3676*D3676</f>
        <v>112.5</v>
      </c>
    </row>
    <row r="3677" spans="1:7" s="745" customFormat="1" ht="15" x14ac:dyDescent="0.25">
      <c r="A3677" s="1260"/>
      <c r="B3677" s="1260"/>
      <c r="C3677" s="159"/>
      <c r="D3677" s="160"/>
      <c r="E3677" s="161"/>
      <c r="F3677" s="434"/>
      <c r="G3677" s="163"/>
    </row>
    <row r="3678" spans="1:7" s="745" customFormat="1" ht="15" customHeight="1" x14ac:dyDescent="0.25">
      <c r="A3678" s="1348"/>
      <c r="B3678" s="1348"/>
      <c r="C3678" s="159"/>
      <c r="D3678" s="160"/>
      <c r="E3678" s="161"/>
      <c r="F3678" s="434"/>
      <c r="G3678" s="163">
        <f>D3678*E3678</f>
        <v>0</v>
      </c>
    </row>
    <row r="3679" spans="1:7" s="745" customFormat="1" ht="15" x14ac:dyDescent="0.25">
      <c r="A3679" s="1348"/>
      <c r="B3679" s="1348"/>
      <c r="C3679" s="159"/>
      <c r="D3679" s="160"/>
      <c r="E3679" s="161"/>
      <c r="F3679" s="434"/>
      <c r="G3679" s="163">
        <f>D3679*E3679</f>
        <v>0</v>
      </c>
    </row>
    <row r="3680" spans="1:7" s="745" customFormat="1" ht="15" x14ac:dyDescent="0.25">
      <c r="A3680" s="1260"/>
      <c r="B3680" s="1260"/>
      <c r="C3680" s="164"/>
      <c r="D3680" s="165"/>
      <c r="E3680" s="161"/>
      <c r="F3680" s="167"/>
      <c r="G3680" s="163">
        <f>D3680*E3680</f>
        <v>0</v>
      </c>
    </row>
    <row r="3681" spans="1:7" s="745" customFormat="1" ht="15" x14ac:dyDescent="0.25">
      <c r="A3681" s="1260"/>
      <c r="B3681" s="1260"/>
      <c r="C3681" s="435"/>
      <c r="D3681" s="165"/>
      <c r="E3681" s="161"/>
      <c r="F3681" s="167"/>
      <c r="G3681" s="163"/>
    </row>
    <row r="3682" spans="1:7" s="745" customFormat="1" ht="15" x14ac:dyDescent="0.25">
      <c r="A3682" s="1077"/>
      <c r="B3682" s="1077"/>
      <c r="C3682" s="151"/>
      <c r="D3682" s="150"/>
      <c r="E3682" s="436"/>
      <c r="F3682" s="168" t="s">
        <v>121</v>
      </c>
      <c r="G3682" s="169">
        <f>+SUM(G3675:G3680)</f>
        <v>3052.5</v>
      </c>
    </row>
    <row r="3683" spans="1:7" s="745" customFormat="1" ht="15" x14ac:dyDescent="0.25">
      <c r="A3683" s="150"/>
      <c r="B3683" s="150"/>
      <c r="C3683" s="151" t="s">
        <v>123</v>
      </c>
      <c r="D3683" s="150"/>
      <c r="E3683" s="152"/>
      <c r="F3683" s="153"/>
      <c r="G3683" s="154"/>
    </row>
    <row r="3684" spans="1:7" s="745" customFormat="1" ht="15" x14ac:dyDescent="0.25">
      <c r="A3684" s="149" t="s">
        <v>122</v>
      </c>
      <c r="B3684" s="150"/>
      <c r="C3684" s="151" t="s">
        <v>123</v>
      </c>
      <c r="D3684" s="150"/>
      <c r="E3684" s="152"/>
      <c r="F3684" s="153"/>
      <c r="G3684" s="154"/>
    </row>
    <row r="3685" spans="1:7" s="745" customFormat="1" ht="15" x14ac:dyDescent="0.25">
      <c r="A3685" s="150"/>
      <c r="B3685" s="150"/>
      <c r="C3685" s="151"/>
      <c r="D3685" s="150"/>
      <c r="E3685" s="152"/>
      <c r="F3685" s="153"/>
      <c r="G3685" s="154"/>
    </row>
    <row r="3686" spans="1:7" s="745" customFormat="1" ht="15" x14ac:dyDescent="0.25">
      <c r="A3686" s="1258" t="s">
        <v>116</v>
      </c>
      <c r="B3686" s="1258"/>
      <c r="C3686" s="155" t="s">
        <v>117</v>
      </c>
      <c r="D3686" s="1062" t="s">
        <v>124</v>
      </c>
      <c r="E3686" s="1062" t="s">
        <v>125</v>
      </c>
      <c r="F3686" s="170" t="s">
        <v>126</v>
      </c>
      <c r="G3686" s="158" t="s">
        <v>120</v>
      </c>
    </row>
    <row r="3687" spans="1:7" s="745" customFormat="1" ht="15" x14ac:dyDescent="0.25">
      <c r="A3687" s="1260" t="s">
        <v>127</v>
      </c>
      <c r="B3687" s="1260"/>
      <c r="C3687" s="164" t="s">
        <v>128</v>
      </c>
      <c r="D3687" s="160"/>
      <c r="E3687" s="171"/>
      <c r="F3687" s="172"/>
      <c r="G3687" s="406">
        <f>G3701*0.05</f>
        <v>55.423983999999997</v>
      </c>
    </row>
    <row r="3688" spans="1:7" s="745" customFormat="1" ht="15" x14ac:dyDescent="0.25">
      <c r="A3688" s="1260"/>
      <c r="B3688" s="1260"/>
      <c r="C3688" s="164"/>
      <c r="D3688" s="165"/>
      <c r="E3688" s="161"/>
      <c r="F3688" s="174"/>
      <c r="G3688" s="173">
        <f>F3688*D3688</f>
        <v>0</v>
      </c>
    </row>
    <row r="3689" spans="1:7" s="745" customFormat="1" ht="15" customHeight="1" x14ac:dyDescent="0.25">
      <c r="A3689" s="1325"/>
      <c r="B3689" s="1325"/>
      <c r="C3689" s="159"/>
      <c r="D3689" s="169"/>
      <c r="E3689" s="175"/>
      <c r="F3689" s="172"/>
      <c r="G3689" s="173"/>
    </row>
    <row r="3690" spans="1:7" s="745" customFormat="1" ht="15" x14ac:dyDescent="0.25">
      <c r="A3690" s="150"/>
      <c r="B3690" s="153"/>
      <c r="C3690" s="176"/>
      <c r="D3690" s="169"/>
      <c r="E3690" s="175"/>
      <c r="F3690" s="172"/>
      <c r="G3690" s="177"/>
    </row>
    <row r="3691" spans="1:7" s="745" customFormat="1" ht="15" x14ac:dyDescent="0.25">
      <c r="A3691" s="150"/>
      <c r="B3691" s="153"/>
      <c r="C3691" s="176"/>
      <c r="D3691" s="178"/>
      <c r="E3691" s="175"/>
      <c r="F3691" s="153"/>
      <c r="G3691" s="179"/>
    </row>
    <row r="3692" spans="1:7" s="745" customFormat="1" ht="15" x14ac:dyDescent="0.25">
      <c r="A3692" s="150"/>
      <c r="B3692" s="153"/>
      <c r="C3692" s="176"/>
      <c r="D3692" s="153"/>
      <c r="E3692" s="436"/>
      <c r="F3692" s="168" t="s">
        <v>121</v>
      </c>
      <c r="G3692" s="177">
        <f>+SUM(G3687:G3691)</f>
        <v>55.423983999999997</v>
      </c>
    </row>
    <row r="3693" spans="1:7" s="745" customFormat="1" ht="15" x14ac:dyDescent="0.25">
      <c r="A3693" s="150"/>
      <c r="B3693" s="150"/>
      <c r="C3693" s="151"/>
      <c r="D3693" s="150"/>
      <c r="E3693" s="152"/>
      <c r="F3693" s="436"/>
      <c r="G3693" s="154"/>
    </row>
    <row r="3694" spans="1:7" s="745" customFormat="1" ht="15" x14ac:dyDescent="0.25">
      <c r="A3694" s="149" t="s">
        <v>130</v>
      </c>
      <c r="B3694" s="150"/>
      <c r="C3694" s="151"/>
      <c r="D3694" s="150"/>
      <c r="E3694" s="152"/>
      <c r="F3694" s="153"/>
      <c r="G3694" s="154"/>
    </row>
    <row r="3695" spans="1:7" s="745" customFormat="1" ht="15" x14ac:dyDescent="0.25">
      <c r="A3695" s="150"/>
      <c r="B3695" s="150"/>
      <c r="C3695" s="151"/>
      <c r="D3695" s="150"/>
      <c r="E3695" s="152"/>
      <c r="F3695" s="153"/>
      <c r="G3695" s="154"/>
    </row>
    <row r="3696" spans="1:7" s="745" customFormat="1" ht="15" x14ac:dyDescent="0.25">
      <c r="A3696" s="1258" t="s">
        <v>116</v>
      </c>
      <c r="B3696" s="1258"/>
      <c r="C3696" s="1062" t="s">
        <v>131</v>
      </c>
      <c r="D3696" s="155" t="s">
        <v>132</v>
      </c>
      <c r="E3696" s="1062" t="s">
        <v>133</v>
      </c>
      <c r="F3696" s="170" t="s">
        <v>126</v>
      </c>
      <c r="G3696" s="158" t="s">
        <v>134</v>
      </c>
    </row>
    <row r="3697" spans="1:7" s="745" customFormat="1" ht="15" x14ac:dyDescent="0.25">
      <c r="A3697" s="1325" t="s">
        <v>140</v>
      </c>
      <c r="B3697" s="1325"/>
      <c r="C3697" s="181">
        <f>M2</f>
        <v>22981.8</v>
      </c>
      <c r="D3697" s="184">
        <f>N2</f>
        <v>1.76</v>
      </c>
      <c r="E3697" s="169">
        <f>D3697*C3697</f>
        <v>40447.968000000001</v>
      </c>
      <c r="F3697" s="172">
        <v>0.01</v>
      </c>
      <c r="G3697" s="169">
        <f>F3697*E3697</f>
        <v>404.47968000000003</v>
      </c>
    </row>
    <row r="3698" spans="1:7" s="745" customFormat="1" ht="15" x14ac:dyDescent="0.25">
      <c r="A3698" s="1325" t="s">
        <v>10</v>
      </c>
      <c r="B3698" s="1325"/>
      <c r="C3698" s="181">
        <f>M3</f>
        <v>40000</v>
      </c>
      <c r="D3698" s="184">
        <f>N3</f>
        <v>1.76</v>
      </c>
      <c r="E3698" s="169">
        <f>D3698*C3698</f>
        <v>70400</v>
      </c>
      <c r="F3698" s="172">
        <v>0.01</v>
      </c>
      <c r="G3698" s="169">
        <f>F3698*E3698</f>
        <v>704</v>
      </c>
    </row>
    <row r="3699" spans="1:7" s="745" customFormat="1" ht="15" x14ac:dyDescent="0.25">
      <c r="A3699" s="150"/>
      <c r="B3699" s="153"/>
      <c r="C3699" s="178"/>
      <c r="D3699" s="176"/>
      <c r="E3699" s="178"/>
      <c r="F3699" s="153"/>
      <c r="G3699" s="178"/>
    </row>
    <row r="3700" spans="1:7" s="745" customFormat="1" ht="15" x14ac:dyDescent="0.25">
      <c r="A3700" s="150"/>
      <c r="B3700" s="153"/>
      <c r="C3700" s="178"/>
      <c r="D3700" s="176"/>
      <c r="E3700" s="178"/>
      <c r="F3700" s="153"/>
      <c r="G3700" s="178"/>
    </row>
    <row r="3701" spans="1:7" s="745" customFormat="1" ht="15" x14ac:dyDescent="0.25">
      <c r="A3701" s="150"/>
      <c r="B3701" s="150"/>
      <c r="C3701" s="151"/>
      <c r="D3701" s="436"/>
      <c r="E3701" s="168"/>
      <c r="F3701" s="168" t="s">
        <v>121</v>
      </c>
      <c r="G3701" s="169">
        <f>+SUM(G3697:G3700)</f>
        <v>1108.4796799999999</v>
      </c>
    </row>
    <row r="3702" spans="1:7" s="745" customFormat="1" ht="15" x14ac:dyDescent="0.25">
      <c r="A3702" s="150"/>
      <c r="B3702" s="150"/>
      <c r="C3702" s="151"/>
      <c r="D3702" s="436"/>
      <c r="E3702" s="168"/>
      <c r="F3702" s="168"/>
      <c r="G3702" s="169"/>
    </row>
    <row r="3703" spans="1:7" s="745" customFormat="1" ht="15" x14ac:dyDescent="0.25">
      <c r="A3703" s="149" t="s">
        <v>135</v>
      </c>
      <c r="B3703" s="150"/>
      <c r="C3703" s="151"/>
      <c r="D3703" s="150"/>
      <c r="E3703" s="152"/>
      <c r="F3703" s="153"/>
      <c r="G3703" s="154"/>
    </row>
    <row r="3704" spans="1:7" s="745" customFormat="1" ht="15" x14ac:dyDescent="0.25">
      <c r="A3704" s="150"/>
      <c r="B3704" s="150"/>
      <c r="C3704" s="151"/>
      <c r="D3704" s="150"/>
      <c r="E3704" s="152"/>
      <c r="F3704" s="153"/>
      <c r="G3704" s="154"/>
    </row>
    <row r="3705" spans="1:7" s="745" customFormat="1" ht="15" x14ac:dyDescent="0.25">
      <c r="A3705" s="1258" t="s">
        <v>116</v>
      </c>
      <c r="B3705" s="1258"/>
      <c r="C3705" s="1062" t="s">
        <v>117</v>
      </c>
      <c r="D3705" s="155" t="s">
        <v>136</v>
      </c>
      <c r="E3705" s="1062" t="s">
        <v>124</v>
      </c>
      <c r="F3705" s="170" t="s">
        <v>126</v>
      </c>
      <c r="G3705" s="158" t="s">
        <v>134</v>
      </c>
    </row>
    <row r="3706" spans="1:7" s="745" customFormat="1" ht="15" x14ac:dyDescent="0.25">
      <c r="A3706" s="1325" t="s">
        <v>192</v>
      </c>
      <c r="B3706" s="1325"/>
      <c r="C3706" s="181" t="s">
        <v>9</v>
      </c>
      <c r="D3706" s="184"/>
      <c r="E3706" s="169">
        <v>50000</v>
      </c>
      <c r="F3706" s="172">
        <v>0.02</v>
      </c>
      <c r="G3706" s="169">
        <f>F3706*E3706</f>
        <v>1000</v>
      </c>
    </row>
    <row r="3707" spans="1:7" s="745" customFormat="1" ht="15" x14ac:dyDescent="0.25">
      <c r="A3707" s="150"/>
      <c r="B3707" s="180"/>
      <c r="C3707" s="181"/>
      <c r="D3707" s="184"/>
      <c r="E3707" s="169" t="s">
        <v>193</v>
      </c>
      <c r="F3707" s="172"/>
      <c r="G3707" s="169"/>
    </row>
    <row r="3708" spans="1:7" s="745" customFormat="1" ht="15" x14ac:dyDescent="0.25">
      <c r="A3708" s="150"/>
      <c r="B3708" s="437"/>
      <c r="C3708" s="181"/>
      <c r="D3708" s="184"/>
      <c r="E3708" s="169"/>
      <c r="F3708" s="172"/>
      <c r="G3708" s="169"/>
    </row>
    <row r="3709" spans="1:7" s="745" customFormat="1" ht="15" x14ac:dyDescent="0.25">
      <c r="A3709" s="150"/>
      <c r="B3709" s="437"/>
      <c r="C3709" s="181"/>
      <c r="D3709" s="184"/>
      <c r="E3709" s="169"/>
      <c r="F3709" s="172"/>
      <c r="G3709" s="169"/>
    </row>
    <row r="3710" spans="1:7" s="745" customFormat="1" ht="15" x14ac:dyDescent="0.25">
      <c r="A3710" s="150"/>
      <c r="B3710" s="153"/>
      <c r="C3710" s="178"/>
      <c r="D3710" s="176"/>
      <c r="E3710" s="178"/>
      <c r="F3710" s="153"/>
      <c r="G3710" s="178"/>
    </row>
    <row r="3711" spans="1:7" s="745" customFormat="1" ht="15" x14ac:dyDescent="0.25">
      <c r="A3711" s="150"/>
      <c r="B3711" s="153"/>
      <c r="C3711" s="178"/>
      <c r="D3711" s="176"/>
      <c r="E3711" s="178"/>
      <c r="F3711" s="153"/>
      <c r="G3711" s="178"/>
    </row>
    <row r="3712" spans="1:7" s="745" customFormat="1" ht="15" x14ac:dyDescent="0.25">
      <c r="A3712" s="150"/>
      <c r="B3712" s="150"/>
      <c r="C3712" s="151"/>
      <c r="D3712" s="436"/>
      <c r="E3712" s="168"/>
      <c r="F3712" s="168" t="s">
        <v>121</v>
      </c>
      <c r="G3712" s="169">
        <f>+SUM(G3706:G3711)</f>
        <v>1000</v>
      </c>
    </row>
    <row r="3713" spans="1:7" s="745" customFormat="1" ht="15" x14ac:dyDescent="0.25">
      <c r="A3713" s="150"/>
      <c r="B3713" s="150"/>
      <c r="C3713" s="151"/>
      <c r="D3713" s="150"/>
      <c r="E3713" s="152"/>
      <c r="F3713" s="153"/>
      <c r="G3713" s="169"/>
    </row>
    <row r="3714" spans="1:7" s="745" customFormat="1" ht="15" x14ac:dyDescent="0.25">
      <c r="A3714" s="150"/>
      <c r="B3714" s="150"/>
      <c r="C3714" s="436"/>
      <c r="D3714" s="436"/>
      <c r="E3714" s="151"/>
      <c r="F3714" s="168" t="s">
        <v>137</v>
      </c>
      <c r="G3714" s="615">
        <f>ROUND(G3682+G3692+G3701+G3712,0)</f>
        <v>5216</v>
      </c>
    </row>
    <row r="3715" spans="1:7" s="745" customFormat="1" ht="15" x14ac:dyDescent="0.25">
      <c r="A3715" s="860"/>
      <c r="B3715" s="861"/>
      <c r="C3715" s="862"/>
      <c r="D3715" s="862"/>
      <c r="E3715" s="863"/>
      <c r="F3715" s="864"/>
      <c r="G3715" s="864"/>
    </row>
    <row r="3716" spans="1:7" s="745" customFormat="1" ht="15" x14ac:dyDescent="0.25">
      <c r="A3716" s="860"/>
      <c r="B3716" s="861"/>
      <c r="C3716" s="862"/>
      <c r="D3716" s="862"/>
      <c r="E3716" s="863"/>
      <c r="F3716" s="864"/>
      <c r="G3716" s="864"/>
    </row>
    <row r="3717" spans="1:7" s="745" customFormat="1" ht="15" x14ac:dyDescent="0.25">
      <c r="A3717" s="298" t="s">
        <v>114</v>
      </c>
      <c r="B3717" s="1258" t="s">
        <v>1</v>
      </c>
      <c r="C3717" s="1258"/>
      <c r="D3717" s="1258"/>
      <c r="E3717" s="1258"/>
      <c r="F3717" s="1258"/>
      <c r="G3717" s="299" t="s">
        <v>2</v>
      </c>
    </row>
    <row r="3718" spans="1:7" s="745" customFormat="1" ht="15" x14ac:dyDescent="0.25">
      <c r="A3718" s="38">
        <f>'FORMATO PROPUESTA ECONÓMICA'!A132</f>
        <v>10.7</v>
      </c>
      <c r="B3718" s="1259" t="str">
        <f>'FORMATO PROPUESTA ECONÓMICA'!B132</f>
        <v>Suministro e Instalación de geotextil No tejido por cada 100 m2, para la protección del lleno en la zanja</v>
      </c>
      <c r="C3718" s="1259"/>
      <c r="D3718" s="1259"/>
      <c r="E3718" s="1259"/>
      <c r="F3718" s="1259"/>
      <c r="G3718" s="33" t="str">
        <f>'FORMATO PROPUESTA ECONÓMICA'!C132</f>
        <v>m2</v>
      </c>
    </row>
    <row r="3719" spans="1:7" s="745" customFormat="1" ht="15" x14ac:dyDescent="0.25">
      <c r="A3719" s="150"/>
      <c r="B3719" s="1077"/>
      <c r="C3719" s="151"/>
      <c r="D3719" s="150"/>
      <c r="E3719" s="152"/>
      <c r="F3719" s="153"/>
      <c r="G3719" s="154"/>
    </row>
    <row r="3720" spans="1:7" s="745" customFormat="1" ht="15" x14ac:dyDescent="0.25">
      <c r="A3720" s="149" t="s">
        <v>115</v>
      </c>
      <c r="B3720" s="150"/>
      <c r="C3720" s="151"/>
      <c r="D3720" s="150"/>
      <c r="E3720" s="152"/>
      <c r="F3720" s="153"/>
      <c r="G3720" s="154"/>
    </row>
    <row r="3721" spans="1:7" s="745" customFormat="1" ht="15" customHeight="1" x14ac:dyDescent="0.25">
      <c r="A3721" s="150"/>
      <c r="B3721" s="150"/>
      <c r="C3721" s="151"/>
      <c r="D3721" s="150"/>
      <c r="E3721" s="152"/>
      <c r="F3721" s="153"/>
      <c r="G3721" s="154"/>
    </row>
    <row r="3722" spans="1:7" s="745" customFormat="1" ht="15" x14ac:dyDescent="0.25">
      <c r="A3722" s="1258" t="s">
        <v>116</v>
      </c>
      <c r="B3722" s="1258"/>
      <c r="C3722" s="155" t="s">
        <v>117</v>
      </c>
      <c r="D3722" s="1062" t="s">
        <v>118</v>
      </c>
      <c r="E3722" s="157" t="s">
        <v>39</v>
      </c>
      <c r="F3722" s="1062" t="s">
        <v>119</v>
      </c>
      <c r="G3722" s="158" t="s">
        <v>120</v>
      </c>
    </row>
    <row r="3723" spans="1:7" s="745" customFormat="1" ht="15" x14ac:dyDescent="0.25">
      <c r="A3723" s="1260" t="s">
        <v>466</v>
      </c>
      <c r="B3723" s="1260"/>
      <c r="C3723" s="159" t="s">
        <v>16</v>
      </c>
      <c r="D3723" s="160">
        <f>4629*1.16</f>
        <v>5369.6399999999994</v>
      </c>
      <c r="E3723" s="161">
        <v>1.1000000000000001</v>
      </c>
      <c r="F3723" s="434">
        <v>0.05</v>
      </c>
      <c r="G3723" s="163">
        <f>+E3723*D3723*(1+F3723)</f>
        <v>6201.9342000000006</v>
      </c>
    </row>
    <row r="3724" spans="1:7" s="745" customFormat="1" ht="15" x14ac:dyDescent="0.25">
      <c r="A3724" s="1260"/>
      <c r="B3724" s="1260"/>
      <c r="C3724" s="159"/>
      <c r="D3724" s="160"/>
      <c r="E3724" s="161"/>
      <c r="F3724" s="434"/>
      <c r="G3724" s="163">
        <f>+E3724*D3724</f>
        <v>0</v>
      </c>
    </row>
    <row r="3725" spans="1:7" s="745" customFormat="1" ht="15" x14ac:dyDescent="0.25">
      <c r="A3725" s="1260"/>
      <c r="B3725" s="1260"/>
      <c r="C3725" s="159"/>
      <c r="D3725" s="160"/>
      <c r="E3725" s="161"/>
      <c r="F3725" s="434"/>
      <c r="G3725" s="163"/>
    </row>
    <row r="3726" spans="1:7" s="745" customFormat="1" ht="15" customHeight="1" x14ac:dyDescent="0.25">
      <c r="A3726" s="1348"/>
      <c r="B3726" s="1348"/>
      <c r="C3726" s="159"/>
      <c r="D3726" s="160"/>
      <c r="E3726" s="161"/>
      <c r="F3726" s="434"/>
      <c r="G3726" s="163">
        <f>D3726*E3726</f>
        <v>0</v>
      </c>
    </row>
    <row r="3727" spans="1:7" s="745" customFormat="1" ht="15" x14ac:dyDescent="0.25">
      <c r="A3727" s="1348"/>
      <c r="B3727" s="1348"/>
      <c r="C3727" s="159"/>
      <c r="D3727" s="160"/>
      <c r="E3727" s="161"/>
      <c r="F3727" s="434"/>
      <c r="G3727" s="163">
        <f>D3727*E3727</f>
        <v>0</v>
      </c>
    </row>
    <row r="3728" spans="1:7" s="745" customFormat="1" ht="15" x14ac:dyDescent="0.25">
      <c r="A3728" s="1260"/>
      <c r="B3728" s="1260"/>
      <c r="C3728" s="164"/>
      <c r="D3728" s="165"/>
      <c r="E3728" s="161"/>
      <c r="F3728" s="167"/>
      <c r="G3728" s="163">
        <f>D3728*E3728</f>
        <v>0</v>
      </c>
    </row>
    <row r="3729" spans="1:7" s="745" customFormat="1" ht="15" x14ac:dyDescent="0.25">
      <c r="A3729" s="1260"/>
      <c r="B3729" s="1260"/>
      <c r="C3729" s="435"/>
      <c r="D3729" s="165"/>
      <c r="E3729" s="161"/>
      <c r="F3729" s="167"/>
      <c r="G3729" s="163"/>
    </row>
    <row r="3730" spans="1:7" s="745" customFormat="1" ht="15" x14ac:dyDescent="0.25">
      <c r="A3730" s="1077"/>
      <c r="B3730" s="1077"/>
      <c r="C3730" s="151"/>
      <c r="D3730" s="150"/>
      <c r="E3730" s="436"/>
      <c r="F3730" s="168" t="s">
        <v>121</v>
      </c>
      <c r="G3730" s="169">
        <f>+SUM(G3723:G3728)</f>
        <v>6201.9342000000006</v>
      </c>
    </row>
    <row r="3731" spans="1:7" s="745" customFormat="1" ht="15" x14ac:dyDescent="0.25">
      <c r="A3731" s="150"/>
      <c r="B3731" s="150"/>
      <c r="C3731" s="151" t="s">
        <v>123</v>
      </c>
      <c r="D3731" s="150"/>
      <c r="E3731" s="152"/>
      <c r="F3731" s="153"/>
      <c r="G3731" s="154"/>
    </row>
    <row r="3732" spans="1:7" s="745" customFormat="1" ht="15" x14ac:dyDescent="0.25">
      <c r="A3732" s="149" t="s">
        <v>122</v>
      </c>
      <c r="B3732" s="150"/>
      <c r="C3732" s="151" t="s">
        <v>123</v>
      </c>
      <c r="D3732" s="150"/>
      <c r="E3732" s="152"/>
      <c r="F3732" s="153"/>
      <c r="G3732" s="154"/>
    </row>
    <row r="3733" spans="1:7" s="745" customFormat="1" ht="15" x14ac:dyDescent="0.25">
      <c r="A3733" s="150"/>
      <c r="B3733" s="150"/>
      <c r="C3733" s="151"/>
      <c r="D3733" s="150"/>
      <c r="E3733" s="152"/>
      <c r="F3733" s="153"/>
      <c r="G3733" s="154"/>
    </row>
    <row r="3734" spans="1:7" s="745" customFormat="1" ht="15" x14ac:dyDescent="0.25">
      <c r="A3734" s="1258" t="s">
        <v>116</v>
      </c>
      <c r="B3734" s="1258"/>
      <c r="C3734" s="155" t="s">
        <v>117</v>
      </c>
      <c r="D3734" s="1062" t="s">
        <v>124</v>
      </c>
      <c r="E3734" s="1062" t="s">
        <v>125</v>
      </c>
      <c r="F3734" s="170" t="s">
        <v>126</v>
      </c>
      <c r="G3734" s="158" t="s">
        <v>120</v>
      </c>
    </row>
    <row r="3735" spans="1:7" s="745" customFormat="1" ht="15" x14ac:dyDescent="0.25">
      <c r="A3735" s="1260" t="s">
        <v>127</v>
      </c>
      <c r="B3735" s="1260"/>
      <c r="C3735" s="164" t="s">
        <v>128</v>
      </c>
      <c r="D3735" s="160"/>
      <c r="E3735" s="171"/>
      <c r="F3735" s="172"/>
      <c r="G3735" s="173">
        <f>G3749*0.05</f>
        <v>116.09593600000001</v>
      </c>
    </row>
    <row r="3736" spans="1:7" s="745" customFormat="1" ht="15" x14ac:dyDescent="0.25">
      <c r="A3736" s="1260"/>
      <c r="B3736" s="1260"/>
      <c r="C3736" s="164"/>
      <c r="D3736" s="165"/>
      <c r="E3736" s="161"/>
      <c r="F3736" s="174"/>
      <c r="G3736" s="173">
        <f>F3736*D3736</f>
        <v>0</v>
      </c>
    </row>
    <row r="3737" spans="1:7" s="745" customFormat="1" ht="15" customHeight="1" x14ac:dyDescent="0.25">
      <c r="A3737" s="1325"/>
      <c r="B3737" s="1325"/>
      <c r="C3737" s="159"/>
      <c r="D3737" s="169"/>
      <c r="E3737" s="175"/>
      <c r="F3737" s="172"/>
      <c r="G3737" s="173"/>
    </row>
    <row r="3738" spans="1:7" s="745" customFormat="1" ht="15" x14ac:dyDescent="0.25">
      <c r="A3738" s="150"/>
      <c r="B3738" s="153"/>
      <c r="C3738" s="176"/>
      <c r="D3738" s="169"/>
      <c r="E3738" s="175"/>
      <c r="F3738" s="172"/>
      <c r="G3738" s="177"/>
    </row>
    <row r="3739" spans="1:7" s="745" customFormat="1" ht="15" x14ac:dyDescent="0.25">
      <c r="A3739" s="150"/>
      <c r="B3739" s="153"/>
      <c r="C3739" s="176"/>
      <c r="D3739" s="178"/>
      <c r="E3739" s="175"/>
      <c r="F3739" s="153"/>
      <c r="G3739" s="179"/>
    </row>
    <row r="3740" spans="1:7" s="745" customFormat="1" ht="15" x14ac:dyDescent="0.25">
      <c r="A3740" s="150"/>
      <c r="B3740" s="153"/>
      <c r="C3740" s="176"/>
      <c r="D3740" s="153"/>
      <c r="E3740" s="436"/>
      <c r="F3740" s="168" t="s">
        <v>121</v>
      </c>
      <c r="G3740" s="177">
        <f>+SUM(G3735:G3739)</f>
        <v>116.09593600000001</v>
      </c>
    </row>
    <row r="3741" spans="1:7" s="745" customFormat="1" ht="15" x14ac:dyDescent="0.25">
      <c r="A3741" s="150"/>
      <c r="B3741" s="150"/>
      <c r="C3741" s="151"/>
      <c r="D3741" s="150"/>
      <c r="E3741" s="152"/>
      <c r="F3741" s="436"/>
      <c r="G3741" s="154"/>
    </row>
    <row r="3742" spans="1:7" s="745" customFormat="1" ht="15" x14ac:dyDescent="0.25">
      <c r="A3742" s="149" t="s">
        <v>130</v>
      </c>
      <c r="B3742" s="150"/>
      <c r="C3742" s="151"/>
      <c r="D3742" s="150"/>
      <c r="E3742" s="152"/>
      <c r="F3742" s="153"/>
      <c r="G3742" s="154"/>
    </row>
    <row r="3743" spans="1:7" s="745" customFormat="1" ht="15" x14ac:dyDescent="0.25">
      <c r="A3743" s="150"/>
      <c r="B3743" s="150"/>
      <c r="C3743" s="151"/>
      <c r="D3743" s="150"/>
      <c r="E3743" s="152"/>
      <c r="F3743" s="153"/>
      <c r="G3743" s="154"/>
    </row>
    <row r="3744" spans="1:7" s="745" customFormat="1" ht="15" x14ac:dyDescent="0.25">
      <c r="A3744" s="1258" t="s">
        <v>116</v>
      </c>
      <c r="B3744" s="1258"/>
      <c r="C3744" s="1062" t="s">
        <v>131</v>
      </c>
      <c r="D3744" s="155" t="s">
        <v>132</v>
      </c>
      <c r="E3744" s="1062" t="s">
        <v>133</v>
      </c>
      <c r="F3744" s="170" t="s">
        <v>126</v>
      </c>
      <c r="G3744" s="158" t="s">
        <v>134</v>
      </c>
    </row>
    <row r="3745" spans="1:7" s="745" customFormat="1" ht="15" x14ac:dyDescent="0.25">
      <c r="A3745" s="1325" t="s">
        <v>140</v>
      </c>
      <c r="B3745" s="1325"/>
      <c r="C3745" s="181">
        <f>M2</f>
        <v>22981.8</v>
      </c>
      <c r="D3745" s="184">
        <f>N2</f>
        <v>1.76</v>
      </c>
      <c r="E3745" s="169">
        <f>D3745*C3745</f>
        <v>40447.968000000001</v>
      </c>
      <c r="F3745" s="172">
        <v>0.04</v>
      </c>
      <c r="G3745" s="169">
        <f>F3745*E3745</f>
        <v>1617.9187200000001</v>
      </c>
    </row>
    <row r="3746" spans="1:7" s="745" customFormat="1" ht="15" x14ac:dyDescent="0.25">
      <c r="A3746" s="1325" t="s">
        <v>10</v>
      </c>
      <c r="B3746" s="1325"/>
      <c r="C3746" s="181">
        <f>M3</f>
        <v>40000</v>
      </c>
      <c r="D3746" s="184">
        <f>N3</f>
        <v>1.76</v>
      </c>
      <c r="E3746" s="169">
        <f>D3746*C3746</f>
        <v>70400</v>
      </c>
      <c r="F3746" s="172">
        <v>0.01</v>
      </c>
      <c r="G3746" s="169">
        <f>F3746*E3746</f>
        <v>704</v>
      </c>
    </row>
    <row r="3747" spans="1:7" s="745" customFormat="1" ht="15" x14ac:dyDescent="0.25">
      <c r="A3747" s="150"/>
      <c r="B3747" s="153"/>
      <c r="C3747" s="178"/>
      <c r="D3747" s="176"/>
      <c r="E3747" s="178"/>
      <c r="F3747" s="153"/>
      <c r="G3747" s="178"/>
    </row>
    <row r="3748" spans="1:7" s="745" customFormat="1" ht="15" x14ac:dyDescent="0.25">
      <c r="A3748" s="150"/>
      <c r="B3748" s="153"/>
      <c r="C3748" s="178"/>
      <c r="D3748" s="176"/>
      <c r="E3748" s="178"/>
      <c r="F3748" s="153"/>
      <c r="G3748" s="178"/>
    </row>
    <row r="3749" spans="1:7" s="745" customFormat="1" ht="15" x14ac:dyDescent="0.25">
      <c r="A3749" s="150"/>
      <c r="B3749" s="150"/>
      <c r="C3749" s="151"/>
      <c r="D3749" s="436"/>
      <c r="E3749" s="168"/>
      <c r="F3749" s="168" t="s">
        <v>121</v>
      </c>
      <c r="G3749" s="169">
        <f>+SUM(G3745:G3748)</f>
        <v>2321.9187200000001</v>
      </c>
    </row>
    <row r="3750" spans="1:7" s="745" customFormat="1" ht="15" x14ac:dyDescent="0.25">
      <c r="A3750" s="150"/>
      <c r="B3750" s="150"/>
      <c r="C3750" s="151"/>
      <c r="D3750" s="436"/>
      <c r="E3750" s="168"/>
      <c r="F3750" s="168"/>
      <c r="G3750" s="169"/>
    </row>
    <row r="3751" spans="1:7" s="745" customFormat="1" ht="15" x14ac:dyDescent="0.25">
      <c r="A3751" s="149" t="s">
        <v>135</v>
      </c>
      <c r="B3751" s="150"/>
      <c r="C3751" s="151"/>
      <c r="D3751" s="150"/>
      <c r="E3751" s="152"/>
      <c r="F3751" s="153"/>
      <c r="G3751" s="154"/>
    </row>
    <row r="3752" spans="1:7" s="745" customFormat="1" ht="15" x14ac:dyDescent="0.25">
      <c r="A3752" s="150"/>
      <c r="B3752" s="150"/>
      <c r="C3752" s="151"/>
      <c r="D3752" s="150"/>
      <c r="E3752" s="152"/>
      <c r="F3752" s="153"/>
      <c r="G3752" s="154"/>
    </row>
    <row r="3753" spans="1:7" s="745" customFormat="1" ht="15" x14ac:dyDescent="0.25">
      <c r="A3753" s="1258" t="s">
        <v>116</v>
      </c>
      <c r="B3753" s="1258"/>
      <c r="C3753" s="1062" t="s">
        <v>117</v>
      </c>
      <c r="D3753" s="155" t="s">
        <v>136</v>
      </c>
      <c r="E3753" s="1062" t="s">
        <v>124</v>
      </c>
      <c r="F3753" s="170" t="s">
        <v>126</v>
      </c>
      <c r="G3753" s="158" t="s">
        <v>134</v>
      </c>
    </row>
    <row r="3754" spans="1:7" s="745" customFormat="1" ht="15" x14ac:dyDescent="0.25">
      <c r="A3754" s="1325" t="s">
        <v>434</v>
      </c>
      <c r="B3754" s="1325"/>
      <c r="C3754" s="181" t="s">
        <v>11</v>
      </c>
      <c r="D3754" s="184"/>
      <c r="E3754" s="169">
        <v>50000</v>
      </c>
      <c r="F3754" s="172">
        <v>0.04</v>
      </c>
      <c r="G3754" s="169">
        <f>F3754*E3754</f>
        <v>2000</v>
      </c>
    </row>
    <row r="3755" spans="1:7" s="745" customFormat="1" ht="15" x14ac:dyDescent="0.25">
      <c r="A3755" s="150"/>
      <c r="B3755" s="180"/>
      <c r="C3755" s="181"/>
      <c r="D3755" s="184"/>
      <c r="E3755" s="169" t="s">
        <v>193</v>
      </c>
      <c r="F3755" s="172"/>
      <c r="G3755" s="169"/>
    </row>
    <row r="3756" spans="1:7" s="745" customFormat="1" ht="15" x14ac:dyDescent="0.25">
      <c r="A3756" s="150"/>
      <c r="B3756" s="437"/>
      <c r="C3756" s="181"/>
      <c r="D3756" s="184"/>
      <c r="E3756" s="169"/>
      <c r="F3756" s="172"/>
      <c r="G3756" s="169"/>
    </row>
    <row r="3757" spans="1:7" s="745" customFormat="1" ht="15" x14ac:dyDescent="0.25">
      <c r="A3757" s="150"/>
      <c r="B3757" s="437"/>
      <c r="C3757" s="181"/>
      <c r="D3757" s="184"/>
      <c r="E3757" s="169"/>
      <c r="F3757" s="172"/>
      <c r="G3757" s="169"/>
    </row>
    <row r="3758" spans="1:7" s="745" customFormat="1" ht="15" x14ac:dyDescent="0.25">
      <c r="A3758" s="150"/>
      <c r="B3758" s="153"/>
      <c r="C3758" s="178"/>
      <c r="D3758" s="176"/>
      <c r="E3758" s="178"/>
      <c r="F3758" s="153"/>
      <c r="G3758" s="178"/>
    </row>
    <row r="3759" spans="1:7" s="745" customFormat="1" ht="15" x14ac:dyDescent="0.25">
      <c r="A3759" s="150"/>
      <c r="B3759" s="153"/>
      <c r="C3759" s="178"/>
      <c r="D3759" s="176"/>
      <c r="E3759" s="178"/>
      <c r="F3759" s="153"/>
      <c r="G3759" s="178"/>
    </row>
    <row r="3760" spans="1:7" s="745" customFormat="1" ht="15" x14ac:dyDescent="0.25">
      <c r="A3760" s="150"/>
      <c r="B3760" s="150"/>
      <c r="C3760" s="151"/>
      <c r="D3760" s="436"/>
      <c r="E3760" s="168"/>
      <c r="F3760" s="168" t="s">
        <v>121</v>
      </c>
      <c r="G3760" s="169">
        <f>+SUM(G3754:G3759)</f>
        <v>2000</v>
      </c>
    </row>
    <row r="3761" spans="1:7" s="745" customFormat="1" ht="15" x14ac:dyDescent="0.25">
      <c r="A3761" s="150"/>
      <c r="B3761" s="150"/>
      <c r="C3761" s="151"/>
      <c r="D3761" s="150"/>
      <c r="E3761" s="152"/>
      <c r="F3761" s="153"/>
      <c r="G3761" s="169"/>
    </row>
    <row r="3762" spans="1:7" s="745" customFormat="1" ht="15" x14ac:dyDescent="0.25">
      <c r="A3762" s="150"/>
      <c r="B3762" s="150"/>
      <c r="C3762" s="436"/>
      <c r="D3762" s="436"/>
      <c r="E3762" s="151"/>
      <c r="F3762" s="168" t="s">
        <v>137</v>
      </c>
      <c r="G3762" s="615">
        <f>ROUND(G3730+G3740+G3749+G3760,0)</f>
        <v>10640</v>
      </c>
    </row>
    <row r="3763" spans="1:7" s="745" customFormat="1" ht="15" x14ac:dyDescent="0.25">
      <c r="A3763" s="860"/>
      <c r="B3763" s="861"/>
      <c r="C3763" s="862"/>
      <c r="D3763" s="862"/>
      <c r="E3763" s="863"/>
      <c r="F3763" s="864"/>
      <c r="G3763" s="864"/>
    </row>
    <row r="3764" spans="1:7" s="745" customFormat="1" ht="15" x14ac:dyDescent="0.25">
      <c r="A3764" s="1364"/>
      <c r="B3764" s="1365"/>
      <c r="C3764" s="1365"/>
      <c r="D3764" s="1365"/>
      <c r="E3764" s="1365"/>
      <c r="F3764" s="1365"/>
      <c r="G3764" s="1366"/>
    </row>
    <row r="3765" spans="1:7" s="1088" customFormat="1" ht="15" x14ac:dyDescent="0.25">
      <c r="A3765" s="298" t="s">
        <v>114</v>
      </c>
      <c r="B3765" s="1355" t="s">
        <v>1</v>
      </c>
      <c r="C3765" s="1355"/>
      <c r="D3765" s="1355"/>
      <c r="E3765" s="1355"/>
      <c r="F3765" s="1355"/>
      <c r="G3765" s="299" t="s">
        <v>2</v>
      </c>
    </row>
    <row r="3766" spans="1:7" s="1088" customFormat="1" ht="15" x14ac:dyDescent="0.2">
      <c r="A3766" s="38">
        <f>'FORMATO PROPUESTA ECONÓMICA'!A134</f>
        <v>11.1</v>
      </c>
      <c r="B3766" s="1259" t="str">
        <f>'FORMATO PROPUESTA ECONÓMICA'!B134</f>
        <v>Corte, demolición, retiro y botada de pavimento asfáltico.</v>
      </c>
      <c r="C3766" s="1259"/>
      <c r="D3766" s="1259"/>
      <c r="E3766" s="1259"/>
      <c r="F3766" s="1259"/>
      <c r="G3766" s="33" t="str">
        <f>'FORMATO PROPUESTA ECONÓMICA'!C134</f>
        <v>m3</v>
      </c>
    </row>
    <row r="3767" spans="1:7" s="1088" customFormat="1" ht="15" customHeight="1" x14ac:dyDescent="0.25">
      <c r="A3767" s="149" t="s">
        <v>115</v>
      </c>
      <c r="B3767" s="150"/>
      <c r="C3767" s="151"/>
      <c r="D3767" s="150"/>
      <c r="E3767" s="152"/>
      <c r="F3767" s="153"/>
      <c r="G3767" s="154"/>
    </row>
    <row r="3768" spans="1:7" s="1088" customFormat="1" ht="14.25" x14ac:dyDescent="0.2">
      <c r="A3768" s="150"/>
      <c r="B3768" s="150"/>
      <c r="C3768" s="151"/>
      <c r="D3768" s="150"/>
      <c r="E3768" s="152"/>
      <c r="F3768" s="153"/>
      <c r="G3768" s="154"/>
    </row>
    <row r="3769" spans="1:7" s="1088" customFormat="1" ht="15" x14ac:dyDescent="0.25">
      <c r="A3769" s="1258" t="s">
        <v>116</v>
      </c>
      <c r="B3769" s="1258"/>
      <c r="C3769" s="155" t="s">
        <v>117</v>
      </c>
      <c r="D3769" s="1062" t="s">
        <v>118</v>
      </c>
      <c r="E3769" s="157" t="s">
        <v>39</v>
      </c>
      <c r="F3769" s="1062" t="s">
        <v>119</v>
      </c>
      <c r="G3769" s="158" t="s">
        <v>120</v>
      </c>
    </row>
    <row r="3770" spans="1:7" s="1088" customFormat="1" ht="14.25" x14ac:dyDescent="0.2">
      <c r="A3770" s="1260"/>
      <c r="B3770" s="1260"/>
      <c r="C3770" s="164"/>
      <c r="D3770" s="165"/>
      <c r="E3770" s="161"/>
      <c r="F3770" s="162"/>
      <c r="G3770" s="163">
        <v>0</v>
      </c>
    </row>
    <row r="3771" spans="1:7" s="1088" customFormat="1" ht="14.25" x14ac:dyDescent="0.2">
      <c r="A3771" s="1260"/>
      <c r="B3771" s="1260"/>
      <c r="C3771" s="159"/>
      <c r="D3771" s="165"/>
      <c r="E3771" s="161"/>
      <c r="F3771" s="434"/>
      <c r="G3771" s="163">
        <v>0</v>
      </c>
    </row>
    <row r="3772" spans="1:7" s="1088" customFormat="1" ht="14.25" customHeight="1" x14ac:dyDescent="0.2">
      <c r="A3772" s="1260"/>
      <c r="B3772" s="1260"/>
      <c r="C3772" s="164"/>
      <c r="D3772" s="165"/>
      <c r="E3772" s="166"/>
      <c r="F3772" s="167"/>
      <c r="G3772" s="163"/>
    </row>
    <row r="3773" spans="1:7" s="1088" customFormat="1" ht="15" x14ac:dyDescent="0.25">
      <c r="A3773" s="1077"/>
      <c r="B3773" s="1077"/>
      <c r="C3773" s="151"/>
      <c r="D3773" s="150"/>
      <c r="E3773" s="436"/>
      <c r="F3773" s="168" t="s">
        <v>121</v>
      </c>
      <c r="G3773" s="169">
        <v>0</v>
      </c>
    </row>
    <row r="3774" spans="1:7" s="1088" customFormat="1" ht="14.25" customHeight="1" x14ac:dyDescent="0.25">
      <c r="A3774" s="149" t="s">
        <v>122</v>
      </c>
      <c r="B3774" s="150"/>
      <c r="C3774" s="151" t="s">
        <v>123</v>
      </c>
      <c r="D3774" s="150"/>
      <c r="E3774" s="152"/>
      <c r="F3774" s="153"/>
      <c r="G3774" s="154"/>
    </row>
    <row r="3775" spans="1:7" s="1088" customFormat="1" ht="14.25" x14ac:dyDescent="0.2">
      <c r="A3775" s="150"/>
      <c r="B3775" s="150"/>
      <c r="C3775" s="151"/>
      <c r="D3775" s="150"/>
      <c r="E3775" s="152"/>
      <c r="F3775" s="153"/>
      <c r="G3775" s="154"/>
    </row>
    <row r="3776" spans="1:7" s="1088" customFormat="1" ht="15" x14ac:dyDescent="0.25">
      <c r="A3776" s="1258" t="s">
        <v>116</v>
      </c>
      <c r="B3776" s="1258"/>
      <c r="C3776" s="155" t="s">
        <v>117</v>
      </c>
      <c r="D3776" s="1062" t="s">
        <v>124</v>
      </c>
      <c r="E3776" s="1062" t="s">
        <v>125</v>
      </c>
      <c r="F3776" s="170" t="s">
        <v>126</v>
      </c>
      <c r="G3776" s="158" t="s">
        <v>120</v>
      </c>
    </row>
    <row r="3777" spans="1:7" s="1088" customFormat="1" ht="14.25" x14ac:dyDescent="0.2">
      <c r="A3777" s="1260" t="s">
        <v>127</v>
      </c>
      <c r="B3777" s="1260"/>
      <c r="C3777" s="164" t="s">
        <v>128</v>
      </c>
      <c r="D3777" s="160"/>
      <c r="E3777" s="171"/>
      <c r="F3777" s="172"/>
      <c r="G3777" s="406">
        <f>G3789*0.05</f>
        <v>1011.1992</v>
      </c>
    </row>
    <row r="3778" spans="1:7" s="1088" customFormat="1" ht="14.25" x14ac:dyDescent="0.2">
      <c r="A3778" s="1367" t="s">
        <v>14</v>
      </c>
      <c r="B3778" s="1367"/>
      <c r="C3778" s="159" t="s">
        <v>11</v>
      </c>
      <c r="D3778" s="439">
        <v>65000</v>
      </c>
      <c r="E3778" s="441">
        <v>1</v>
      </c>
      <c r="F3778" s="174">
        <v>6</v>
      </c>
      <c r="G3778" s="242">
        <f>D3778*E3778/F3778</f>
        <v>10833.333333333334</v>
      </c>
    </row>
    <row r="3779" spans="1:7" s="1088" customFormat="1" ht="14.25" x14ac:dyDescent="0.2">
      <c r="A3779" s="1356" t="s">
        <v>194</v>
      </c>
      <c r="B3779" s="1356"/>
      <c r="C3779" s="159" t="s">
        <v>11</v>
      </c>
      <c r="D3779" s="440">
        <v>50000</v>
      </c>
      <c r="E3779" s="1015">
        <v>1</v>
      </c>
      <c r="F3779" s="174">
        <v>5</v>
      </c>
      <c r="G3779" s="242">
        <f t="shared" ref="G3779:G3780" si="5">D3779*E3779/F3779</f>
        <v>10000</v>
      </c>
    </row>
    <row r="3780" spans="1:7" s="1088" customFormat="1" ht="14.25" x14ac:dyDescent="0.2">
      <c r="A3780" s="150" t="s">
        <v>195</v>
      </c>
      <c r="B3780" s="153"/>
      <c r="C3780" s="176" t="s">
        <v>11</v>
      </c>
      <c r="D3780" s="169">
        <v>120000</v>
      </c>
      <c r="E3780" s="441">
        <v>1</v>
      </c>
      <c r="F3780" s="174">
        <v>12</v>
      </c>
      <c r="G3780" s="242">
        <f t="shared" si="5"/>
        <v>10000</v>
      </c>
    </row>
    <row r="3781" spans="1:7" s="1088" customFormat="1" ht="15" x14ac:dyDescent="0.25">
      <c r="A3781" s="150"/>
      <c r="B3781" s="153"/>
      <c r="C3781" s="176"/>
      <c r="D3781" s="153"/>
      <c r="E3781" s="436"/>
      <c r="F3781" s="168"/>
      <c r="G3781" s="177">
        <f>SUM(G3777:G3780)</f>
        <v>31844.532533333335</v>
      </c>
    </row>
    <row r="3782" spans="1:7" s="1088" customFormat="1" ht="15" x14ac:dyDescent="0.25">
      <c r="A3782" s="149" t="s">
        <v>130</v>
      </c>
      <c r="B3782" s="150"/>
      <c r="C3782" s="151"/>
      <c r="D3782" s="150"/>
      <c r="E3782" s="152"/>
      <c r="F3782" s="153"/>
      <c r="G3782" s="154"/>
    </row>
    <row r="3783" spans="1:7" s="1088" customFormat="1" ht="14.25" x14ac:dyDescent="0.2">
      <c r="A3783" s="150"/>
      <c r="B3783" s="150"/>
      <c r="C3783" s="151"/>
      <c r="D3783" s="150"/>
      <c r="E3783" s="152"/>
      <c r="F3783" s="153"/>
      <c r="G3783" s="154"/>
    </row>
    <row r="3784" spans="1:7" s="1088" customFormat="1" ht="14.25" customHeight="1" x14ac:dyDescent="0.25">
      <c r="A3784" s="1258" t="s">
        <v>116</v>
      </c>
      <c r="B3784" s="1258"/>
      <c r="C3784" s="1062" t="s">
        <v>131</v>
      </c>
      <c r="D3784" s="155" t="s">
        <v>132</v>
      </c>
      <c r="E3784" s="1062" t="s">
        <v>133</v>
      </c>
      <c r="F3784" s="170" t="s">
        <v>126</v>
      </c>
      <c r="G3784" s="158" t="s">
        <v>134</v>
      </c>
    </row>
    <row r="3785" spans="1:7" s="1088" customFormat="1" ht="14.25" x14ac:dyDescent="0.2">
      <c r="A3785" s="150"/>
      <c r="B3785" s="180"/>
      <c r="C3785" s="181"/>
      <c r="D3785" s="184"/>
      <c r="E3785" s="169"/>
      <c r="F3785" s="172"/>
      <c r="G3785" s="169"/>
    </row>
    <row r="3786" spans="1:7" s="1088" customFormat="1" ht="14.25" x14ac:dyDescent="0.2">
      <c r="A3786" s="150" t="s">
        <v>199</v>
      </c>
      <c r="B3786" s="180"/>
      <c r="C3786" s="181">
        <f>M2*2</f>
        <v>45963.6</v>
      </c>
      <c r="D3786" s="184">
        <f>N2</f>
        <v>1.76</v>
      </c>
      <c r="E3786" s="169">
        <f>C3786*D3786</f>
        <v>80895.936000000002</v>
      </c>
      <c r="F3786" s="172">
        <v>4</v>
      </c>
      <c r="G3786" s="169">
        <f>E3786/F3786</f>
        <v>20223.984</v>
      </c>
    </row>
    <row r="3787" spans="1:7" s="1088" customFormat="1" ht="14.25" x14ac:dyDescent="0.2">
      <c r="A3787" s="150"/>
      <c r="B3787" s="153"/>
      <c r="C3787" s="178"/>
      <c r="D3787" s="176"/>
      <c r="E3787" s="178"/>
      <c r="F3787" s="153"/>
      <c r="G3787" s="178"/>
    </row>
    <row r="3788" spans="1:7" s="1088" customFormat="1" ht="14.25" x14ac:dyDescent="0.2">
      <c r="A3788" s="150"/>
      <c r="B3788" s="153"/>
      <c r="C3788" s="178"/>
      <c r="D3788" s="176"/>
      <c r="E3788" s="178"/>
      <c r="F3788" s="153"/>
      <c r="G3788" s="178"/>
    </row>
    <row r="3789" spans="1:7" s="1088" customFormat="1" ht="15" x14ac:dyDescent="0.25">
      <c r="A3789" s="150"/>
      <c r="B3789" s="150"/>
      <c r="C3789" s="151"/>
      <c r="D3789" s="436"/>
      <c r="E3789" s="168"/>
      <c r="F3789" s="168" t="s">
        <v>121</v>
      </c>
      <c r="G3789" s="169">
        <f>SUM(G3786:G3788)</f>
        <v>20223.984</v>
      </c>
    </row>
    <row r="3790" spans="1:7" s="1088" customFormat="1" ht="15" x14ac:dyDescent="0.25">
      <c r="A3790" s="149" t="s">
        <v>135</v>
      </c>
      <c r="B3790" s="150"/>
      <c r="C3790" s="151"/>
      <c r="D3790" s="150"/>
      <c r="E3790" s="152"/>
      <c r="F3790" s="153"/>
      <c r="G3790" s="154"/>
    </row>
    <row r="3791" spans="1:7" s="1088" customFormat="1" ht="14.25" x14ac:dyDescent="0.2">
      <c r="A3791" s="150"/>
      <c r="B3791" s="150"/>
      <c r="C3791" s="151"/>
      <c r="D3791" s="150"/>
      <c r="E3791" s="152"/>
      <c r="F3791" s="442"/>
      <c r="G3791" s="154"/>
    </row>
    <row r="3792" spans="1:7" s="1088" customFormat="1" ht="15" x14ac:dyDescent="0.25">
      <c r="A3792" s="1258" t="s">
        <v>116</v>
      </c>
      <c r="B3792" s="1258"/>
      <c r="C3792" s="1062" t="s">
        <v>117</v>
      </c>
      <c r="D3792" s="155" t="s">
        <v>136</v>
      </c>
      <c r="E3792" s="1062" t="s">
        <v>124</v>
      </c>
      <c r="F3792" s="170" t="s">
        <v>126</v>
      </c>
      <c r="G3792" s="158" t="s">
        <v>134</v>
      </c>
    </row>
    <row r="3793" spans="1:9" s="1088" customFormat="1" ht="14.25" x14ac:dyDescent="0.2">
      <c r="A3793" s="209" t="s">
        <v>138</v>
      </c>
      <c r="B3793" s="275"/>
      <c r="C3793" s="260" t="s">
        <v>79</v>
      </c>
      <c r="D3793" s="443">
        <v>1</v>
      </c>
      <c r="E3793" s="338">
        <v>0.5</v>
      </c>
      <c r="F3793" s="444">
        <v>30834</v>
      </c>
      <c r="G3793" s="224">
        <f>D3793*E3793*F3793</f>
        <v>15417</v>
      </c>
    </row>
    <row r="3794" spans="1:9" s="1088" customFormat="1" ht="14.25" x14ac:dyDescent="0.2">
      <c r="A3794" s="150"/>
      <c r="B3794" s="153"/>
      <c r="C3794" s="178"/>
      <c r="D3794" s="176"/>
      <c r="E3794" s="178"/>
      <c r="F3794" s="153"/>
      <c r="G3794" s="178"/>
    </row>
    <row r="3795" spans="1:9" s="1088" customFormat="1" ht="15" x14ac:dyDescent="0.25">
      <c r="A3795" s="150"/>
      <c r="B3795" s="150"/>
      <c r="C3795" s="151"/>
      <c r="D3795" s="436"/>
      <c r="E3795" s="168"/>
      <c r="F3795" s="168" t="s">
        <v>121</v>
      </c>
      <c r="G3795" s="169">
        <v>0</v>
      </c>
    </row>
    <row r="3796" spans="1:9" s="1088" customFormat="1" ht="14.25" x14ac:dyDescent="0.2">
      <c r="A3796" s="150"/>
      <c r="B3796" s="150"/>
      <c r="C3796" s="151"/>
      <c r="D3796" s="150"/>
      <c r="E3796" s="152"/>
      <c r="F3796" s="153"/>
      <c r="G3796" s="169"/>
    </row>
    <row r="3797" spans="1:9" s="1088" customFormat="1" ht="15" x14ac:dyDescent="0.25">
      <c r="A3797" s="150"/>
      <c r="B3797" s="150"/>
      <c r="C3797" s="436"/>
      <c r="D3797" s="436"/>
      <c r="E3797" s="151"/>
      <c r="F3797" s="168" t="s">
        <v>137</v>
      </c>
      <c r="G3797" s="185">
        <f>ROUND(G3789+G3781+G3773+G3793,0)</f>
        <v>67486</v>
      </c>
    </row>
    <row r="3798" spans="1:9" s="1088" customFormat="1" ht="15" x14ac:dyDescent="0.25">
      <c r="A3798" s="209"/>
      <c r="B3798" s="212"/>
      <c r="C3798" s="211"/>
      <c r="D3798" s="212"/>
      <c r="E3798" s="257"/>
      <c r="F3798" s="257"/>
      <c r="G3798" s="271"/>
    </row>
    <row r="3799" spans="1:9" s="1088" customFormat="1" ht="14.25" x14ac:dyDescent="0.2">
      <c r="A3799" s="209"/>
      <c r="B3799" s="212"/>
      <c r="C3799" s="211"/>
      <c r="D3799" s="212"/>
      <c r="E3799" s="213"/>
      <c r="F3799" s="214"/>
      <c r="G3799" s="271"/>
      <c r="H3799" s="1089"/>
    </row>
    <row r="3800" spans="1:9" s="745" customFormat="1" ht="15" x14ac:dyDescent="0.25">
      <c r="A3800" s="1100"/>
      <c r="B3800" s="1100"/>
      <c r="C3800" s="1100"/>
      <c r="D3800" s="1100"/>
      <c r="E3800" s="1100"/>
      <c r="F3800" s="1100"/>
      <c r="G3800" s="1100"/>
    </row>
    <row r="3801" spans="1:9" s="1088" customFormat="1" ht="15" x14ac:dyDescent="0.25">
      <c r="A3801" s="445" t="s">
        <v>160</v>
      </c>
      <c r="B3801" s="1268" t="s">
        <v>161</v>
      </c>
      <c r="C3801" s="1268"/>
      <c r="D3801" s="1268"/>
      <c r="E3801" s="1268"/>
      <c r="F3801" s="1268"/>
      <c r="G3801" s="146" t="s">
        <v>2</v>
      </c>
    </row>
    <row r="3802" spans="1:9" s="1088" customFormat="1" ht="15" x14ac:dyDescent="0.25">
      <c r="A3802" s="208">
        <f>'[1]Presupuesto Total'!B100</f>
        <v>10.199999999999999</v>
      </c>
      <c r="B3802" s="1265" t="str">
        <f>'[1]Presupuesto Total'!C100</f>
        <v>Corte, demolicion, retiro y botada de pavimento rigido.</v>
      </c>
      <c r="C3802" s="1266"/>
      <c r="D3802" s="1266"/>
      <c r="E3802" s="1266"/>
      <c r="F3802" s="1267"/>
      <c r="G3802" s="187" t="str">
        <f>'[1]Presupuesto Total'!D100</f>
        <v>m3</v>
      </c>
      <c r="I3802" s="1101"/>
    </row>
    <row r="3803" spans="1:9" s="1088" customFormat="1" ht="15" customHeight="1" x14ac:dyDescent="0.2">
      <c r="A3803" s="209"/>
      <c r="B3803" s="210"/>
      <c r="C3803" s="211"/>
      <c r="D3803" s="212"/>
      <c r="E3803" s="213"/>
      <c r="F3803" s="214"/>
      <c r="G3803" s="215"/>
    </row>
    <row r="3804" spans="1:9" s="1088" customFormat="1" ht="15" x14ac:dyDescent="0.25">
      <c r="A3804" s="216" t="s">
        <v>115</v>
      </c>
      <c r="B3804" s="212"/>
      <c r="C3804" s="211"/>
      <c r="D3804" s="212"/>
      <c r="E3804" s="213"/>
      <c r="F3804" s="214"/>
      <c r="G3804" s="215"/>
    </row>
    <row r="3805" spans="1:9" s="1088" customFormat="1" ht="14.25" x14ac:dyDescent="0.2">
      <c r="A3805" s="209"/>
      <c r="B3805" s="212"/>
      <c r="C3805" s="211"/>
      <c r="D3805" s="212"/>
      <c r="E3805" s="213"/>
      <c r="F3805" s="214"/>
      <c r="G3805" s="215"/>
    </row>
    <row r="3806" spans="1:9" s="1088" customFormat="1" ht="15" x14ac:dyDescent="0.25">
      <c r="A3806" s="1360" t="s">
        <v>116</v>
      </c>
      <c r="B3806" s="1361"/>
      <c r="C3806" s="217" t="s">
        <v>117</v>
      </c>
      <c r="D3806" s="1075" t="s">
        <v>118</v>
      </c>
      <c r="E3806" s="218" t="s">
        <v>39</v>
      </c>
      <c r="F3806" s="1075" t="s">
        <v>119</v>
      </c>
      <c r="G3806" s="219" t="s">
        <v>120</v>
      </c>
    </row>
    <row r="3807" spans="1:9" s="1088" customFormat="1" ht="14.25" x14ac:dyDescent="0.2">
      <c r="A3807" s="1306"/>
      <c r="B3807" s="1307"/>
      <c r="C3807" s="446"/>
      <c r="D3807" s="447"/>
      <c r="E3807" s="448"/>
      <c r="F3807" s="449"/>
      <c r="G3807" s="450">
        <f>E3807*D3807</f>
        <v>0</v>
      </c>
    </row>
    <row r="3808" spans="1:9" s="1088" customFormat="1" ht="15" customHeight="1" x14ac:dyDescent="0.2">
      <c r="A3808" s="1308"/>
      <c r="B3808" s="1309"/>
      <c r="C3808" s="225"/>
      <c r="D3808" s="221"/>
      <c r="E3808" s="451"/>
      <c r="F3808" s="452"/>
      <c r="G3808" s="228">
        <f>D3808*E3808</f>
        <v>0</v>
      </c>
    </row>
    <row r="3809" spans="1:7" s="1088" customFormat="1" ht="15" customHeight="1" x14ac:dyDescent="0.2">
      <c r="A3809" s="1308"/>
      <c r="B3809" s="1309"/>
      <c r="C3809" s="225"/>
      <c r="D3809" s="221"/>
      <c r="E3809" s="451"/>
      <c r="F3809" s="452"/>
      <c r="G3809" s="228">
        <f>E3809*D3809</f>
        <v>0</v>
      </c>
    </row>
    <row r="3810" spans="1:7" s="1088" customFormat="1" ht="14.25" x14ac:dyDescent="0.2">
      <c r="A3810" s="1308"/>
      <c r="B3810" s="1309"/>
      <c r="C3810" s="229"/>
      <c r="D3810" s="221"/>
      <c r="E3810" s="451"/>
      <c r="F3810" s="452"/>
      <c r="G3810" s="228">
        <f>E3810*D3810</f>
        <v>0</v>
      </c>
    </row>
    <row r="3811" spans="1:7" s="1088" customFormat="1" ht="14.25" x14ac:dyDescent="0.2">
      <c r="A3811" s="1308"/>
      <c r="B3811" s="1309"/>
      <c r="C3811" s="225"/>
      <c r="D3811" s="221"/>
      <c r="E3811" s="451"/>
      <c r="F3811" s="227"/>
      <c r="G3811" s="228">
        <f>E3811*D3811</f>
        <v>0</v>
      </c>
    </row>
    <row r="3812" spans="1:7" s="1088" customFormat="1" ht="14.25" x14ac:dyDescent="0.2">
      <c r="A3812" s="1310"/>
      <c r="B3812" s="1311"/>
      <c r="C3812" s="230"/>
      <c r="D3812" s="231"/>
      <c r="E3812" s="453"/>
      <c r="F3812" s="233"/>
      <c r="G3812" s="454"/>
    </row>
    <row r="3813" spans="1:7" s="1088" customFormat="1" ht="15" x14ac:dyDescent="0.25">
      <c r="A3813" s="1073"/>
      <c r="B3813" s="210"/>
      <c r="C3813" s="211"/>
      <c r="D3813" s="212"/>
      <c r="E3813" s="212"/>
      <c r="F3813" s="234" t="s">
        <v>121</v>
      </c>
      <c r="G3813" s="231">
        <f>+SUM(G3807:G3812)</f>
        <v>0</v>
      </c>
    </row>
    <row r="3814" spans="1:7" s="1088" customFormat="1" ht="14.25" x14ac:dyDescent="0.2">
      <c r="A3814" s="209"/>
      <c r="B3814" s="212"/>
      <c r="C3814" s="211" t="s">
        <v>123</v>
      </c>
      <c r="D3814" s="212"/>
      <c r="E3814" s="213"/>
      <c r="F3814" s="214"/>
      <c r="G3814" s="215"/>
    </row>
    <row r="3815" spans="1:7" s="1088" customFormat="1" ht="15" x14ac:dyDescent="0.25">
      <c r="A3815" s="216" t="s">
        <v>122</v>
      </c>
      <c r="B3815" s="212"/>
      <c r="C3815" s="211" t="s">
        <v>123</v>
      </c>
      <c r="D3815" s="212"/>
      <c r="E3815" s="213"/>
      <c r="F3815" s="214"/>
      <c r="G3815" s="215"/>
    </row>
    <row r="3816" spans="1:7" s="1088" customFormat="1" ht="14.25" x14ac:dyDescent="0.2">
      <c r="A3816" s="209"/>
      <c r="B3816" s="212"/>
      <c r="C3816" s="211"/>
      <c r="D3816" s="212"/>
      <c r="E3816" s="213"/>
      <c r="F3816" s="214"/>
      <c r="G3816" s="215"/>
    </row>
    <row r="3817" spans="1:7" s="1088" customFormat="1" ht="15" x14ac:dyDescent="0.25">
      <c r="A3817" s="1350" t="s">
        <v>116</v>
      </c>
      <c r="B3817" s="1351"/>
      <c r="C3817" s="235" t="s">
        <v>117</v>
      </c>
      <c r="D3817" s="236" t="s">
        <v>124</v>
      </c>
      <c r="E3817" s="236" t="s">
        <v>39</v>
      </c>
      <c r="F3817" s="237" t="s">
        <v>126</v>
      </c>
      <c r="G3817" s="238" t="s">
        <v>120</v>
      </c>
    </row>
    <row r="3818" spans="1:7" s="1088" customFormat="1" ht="14.25" x14ac:dyDescent="0.2">
      <c r="A3818" s="1374" t="s">
        <v>127</v>
      </c>
      <c r="B3818" s="1375"/>
      <c r="C3818" s="164" t="s">
        <v>128</v>
      </c>
      <c r="D3818" s="160"/>
      <c r="E3818" s="171"/>
      <c r="F3818" s="172"/>
      <c r="G3818" s="406">
        <f>G3834*0.05</f>
        <v>1011.1992</v>
      </c>
    </row>
    <row r="3819" spans="1:7" s="1088" customFormat="1" ht="14.25" x14ac:dyDescent="0.2">
      <c r="A3819" s="1362" t="s">
        <v>138</v>
      </c>
      <c r="B3819" s="1363"/>
      <c r="C3819" s="239" t="s">
        <v>176</v>
      </c>
      <c r="D3819" s="240">
        <v>95000</v>
      </c>
      <c r="E3819" s="241">
        <v>1</v>
      </c>
      <c r="F3819" s="222">
        <v>6</v>
      </c>
      <c r="G3819" s="242">
        <f>D3819*E3819/F3819</f>
        <v>15833.333333333334</v>
      </c>
    </row>
    <row r="3820" spans="1:7" s="1088" customFormat="1" ht="14.25" x14ac:dyDescent="0.2">
      <c r="A3820" s="1308" t="s">
        <v>198</v>
      </c>
      <c r="B3820" s="1309"/>
      <c r="C3820" s="243" t="s">
        <v>176</v>
      </c>
      <c r="D3820" s="292">
        <v>50000</v>
      </c>
      <c r="E3820" s="455">
        <v>1</v>
      </c>
      <c r="F3820" s="290">
        <v>4</v>
      </c>
      <c r="G3820" s="242">
        <f t="shared" ref="G3820:G3821" si="6">D3820*E3820/F3820</f>
        <v>12500</v>
      </c>
    </row>
    <row r="3821" spans="1:7" s="1088" customFormat="1" ht="15" customHeight="1" x14ac:dyDescent="0.2">
      <c r="A3821" s="1352" t="s">
        <v>195</v>
      </c>
      <c r="B3821" s="1353"/>
      <c r="C3821" s="243" t="s">
        <v>176</v>
      </c>
      <c r="D3821" s="221">
        <v>120000</v>
      </c>
      <c r="E3821" s="244">
        <v>1</v>
      </c>
      <c r="F3821" s="222">
        <v>8</v>
      </c>
      <c r="G3821" s="242">
        <f t="shared" si="6"/>
        <v>15000</v>
      </c>
    </row>
    <row r="3822" spans="1:7" s="1088" customFormat="1" ht="14.25" x14ac:dyDescent="0.2">
      <c r="A3822" s="209"/>
      <c r="B3822" s="245"/>
      <c r="C3822" s="246"/>
      <c r="D3822" s="221"/>
      <c r="E3822" s="247"/>
      <c r="F3822" s="222"/>
      <c r="G3822" s="248"/>
    </row>
    <row r="3823" spans="1:7" s="1088" customFormat="1" ht="14.25" x14ac:dyDescent="0.2">
      <c r="A3823" s="249"/>
      <c r="B3823" s="250"/>
      <c r="C3823" s="251"/>
      <c r="D3823" s="252"/>
      <c r="E3823" s="253"/>
      <c r="F3823" s="254"/>
      <c r="G3823" s="255"/>
    </row>
    <row r="3824" spans="1:7" s="1088" customFormat="1" ht="15" x14ac:dyDescent="0.25">
      <c r="A3824" s="209"/>
      <c r="B3824" s="214"/>
      <c r="C3824" s="256"/>
      <c r="D3824" s="214"/>
      <c r="E3824" s="212"/>
      <c r="F3824" s="257" t="s">
        <v>121</v>
      </c>
      <c r="G3824" s="258">
        <f>+SUM(G3818:G3823)</f>
        <v>44344.532533333331</v>
      </c>
    </row>
    <row r="3825" spans="1:7" s="1088" customFormat="1" ht="14.25" x14ac:dyDescent="0.2">
      <c r="A3825" s="209"/>
      <c r="B3825" s="212"/>
      <c r="C3825" s="211"/>
      <c r="D3825" s="212"/>
      <c r="E3825" s="213"/>
      <c r="F3825" s="212"/>
      <c r="G3825" s="215"/>
    </row>
    <row r="3826" spans="1:7" s="1088" customFormat="1" ht="15" x14ac:dyDescent="0.25">
      <c r="A3826" s="216" t="s">
        <v>130</v>
      </c>
      <c r="B3826" s="212"/>
      <c r="C3826" s="211"/>
      <c r="D3826" s="212"/>
      <c r="E3826" s="213"/>
      <c r="F3826" s="214"/>
      <c r="G3826" s="215"/>
    </row>
    <row r="3827" spans="1:7" s="1088" customFormat="1" ht="14.25" x14ac:dyDescent="0.2">
      <c r="A3827" s="209"/>
      <c r="B3827" s="212"/>
      <c r="C3827" s="211"/>
      <c r="D3827" s="212"/>
      <c r="E3827" s="213"/>
      <c r="F3827" s="214"/>
      <c r="G3827" s="215"/>
    </row>
    <row r="3828" spans="1:7" s="1088" customFormat="1" ht="15" x14ac:dyDescent="0.25">
      <c r="A3828" s="1350" t="s">
        <v>116</v>
      </c>
      <c r="B3828" s="1351"/>
      <c r="C3828" s="236" t="s">
        <v>131</v>
      </c>
      <c r="D3828" s="235" t="s">
        <v>132</v>
      </c>
      <c r="E3828" s="236" t="s">
        <v>133</v>
      </c>
      <c r="F3828" s="237" t="s">
        <v>126</v>
      </c>
      <c r="G3828" s="238" t="s">
        <v>134</v>
      </c>
    </row>
    <row r="3829" spans="1:7" s="1088" customFormat="1" ht="14.25" x14ac:dyDescent="0.2">
      <c r="A3829" s="209" t="s">
        <v>517</v>
      </c>
      <c r="B3829" s="275"/>
      <c r="C3829" s="260">
        <f>M2</f>
        <v>22981.8</v>
      </c>
      <c r="D3829" s="456">
        <f>N2</f>
        <v>1.76</v>
      </c>
      <c r="E3829" s="262">
        <f>C3829*D3829</f>
        <v>40447.968000000001</v>
      </c>
      <c r="F3829" s="274">
        <v>2</v>
      </c>
      <c r="G3829" s="224">
        <f>E3829/F3829</f>
        <v>20223.984</v>
      </c>
    </row>
    <row r="3830" spans="1:7" s="1088" customFormat="1" ht="14.25" x14ac:dyDescent="0.2">
      <c r="A3830" s="209"/>
      <c r="B3830" s="259"/>
      <c r="C3830" s="260"/>
      <c r="D3830" s="443"/>
      <c r="E3830" s="276"/>
      <c r="F3830" s="222"/>
      <c r="G3830" s="224"/>
    </row>
    <row r="3831" spans="1:7" s="1088" customFormat="1" ht="14.25" x14ac:dyDescent="0.2">
      <c r="A3831" s="209"/>
      <c r="B3831" s="259"/>
      <c r="C3831" s="260"/>
      <c r="D3831" s="443"/>
      <c r="E3831" s="276"/>
      <c r="F3831" s="222"/>
      <c r="G3831" s="224"/>
    </row>
    <row r="3832" spans="1:7" s="1088" customFormat="1" ht="14.25" x14ac:dyDescent="0.2">
      <c r="A3832" s="209"/>
      <c r="B3832" s="245"/>
      <c r="C3832" s="265"/>
      <c r="D3832" s="246"/>
      <c r="E3832" s="265"/>
      <c r="F3832" s="266"/>
      <c r="G3832" s="267"/>
    </row>
    <row r="3833" spans="1:7" s="1088" customFormat="1" ht="14.25" x14ac:dyDescent="0.2">
      <c r="A3833" s="249"/>
      <c r="B3833" s="250"/>
      <c r="C3833" s="252"/>
      <c r="D3833" s="251"/>
      <c r="E3833" s="252"/>
      <c r="F3833" s="254"/>
      <c r="G3833" s="268"/>
    </row>
    <row r="3834" spans="1:7" s="1088" customFormat="1" ht="15" x14ac:dyDescent="0.25">
      <c r="A3834" s="209"/>
      <c r="B3834" s="212"/>
      <c r="C3834" s="211"/>
      <c r="D3834" s="212"/>
      <c r="E3834" s="269"/>
      <c r="F3834" s="269" t="s">
        <v>121</v>
      </c>
      <c r="G3834" s="270">
        <f>+SUM(G3829:G3833)</f>
        <v>20223.984</v>
      </c>
    </row>
    <row r="3835" spans="1:7" s="1088" customFormat="1" ht="15" x14ac:dyDescent="0.25">
      <c r="A3835" s="209"/>
      <c r="B3835" s="212"/>
      <c r="C3835" s="211"/>
      <c r="D3835" s="212"/>
      <c r="E3835" s="257"/>
      <c r="F3835" s="257"/>
      <c r="G3835" s="271"/>
    </row>
    <row r="3836" spans="1:7" s="1088" customFormat="1" ht="15" x14ac:dyDescent="0.25">
      <c r="A3836" s="216" t="s">
        <v>135</v>
      </c>
      <c r="B3836" s="212"/>
      <c r="C3836" s="211"/>
      <c r="D3836" s="212"/>
      <c r="E3836" s="213"/>
      <c r="F3836" s="214"/>
      <c r="G3836" s="215"/>
    </row>
    <row r="3837" spans="1:7" s="1088" customFormat="1" ht="14.25" x14ac:dyDescent="0.2">
      <c r="A3837" s="209"/>
      <c r="B3837" s="212"/>
      <c r="C3837" s="211"/>
      <c r="D3837" s="212"/>
      <c r="E3837" s="213"/>
      <c r="F3837" s="214"/>
      <c r="G3837" s="215"/>
    </row>
    <row r="3838" spans="1:7" s="1088" customFormat="1" ht="15" x14ac:dyDescent="0.25">
      <c r="A3838" s="1350" t="s">
        <v>116</v>
      </c>
      <c r="B3838" s="1351"/>
      <c r="C3838" s="236" t="s">
        <v>117</v>
      </c>
      <c r="D3838" s="235" t="s">
        <v>196</v>
      </c>
      <c r="E3838" s="236" t="s">
        <v>197</v>
      </c>
      <c r="F3838" s="237" t="s">
        <v>126</v>
      </c>
      <c r="G3838" s="238" t="s">
        <v>134</v>
      </c>
    </row>
    <row r="3839" spans="1:7" s="1088" customFormat="1" ht="14.25" x14ac:dyDescent="0.2">
      <c r="A3839" s="209" t="s">
        <v>138</v>
      </c>
      <c r="B3839" s="275"/>
      <c r="C3839" s="260" t="s">
        <v>79</v>
      </c>
      <c r="D3839" s="443">
        <v>1</v>
      </c>
      <c r="E3839" s="338">
        <v>0.5</v>
      </c>
      <c r="F3839" s="444">
        <v>30834</v>
      </c>
      <c r="G3839" s="224">
        <f>D3839*E3839*F3839</f>
        <v>15417</v>
      </c>
    </row>
    <row r="3840" spans="1:7" s="1088" customFormat="1" ht="14.25" x14ac:dyDescent="0.2">
      <c r="A3840" s="209"/>
      <c r="B3840" s="275"/>
      <c r="C3840" s="260"/>
      <c r="D3840" s="443"/>
      <c r="E3840" s="276"/>
      <c r="F3840" s="222"/>
      <c r="G3840" s="224"/>
    </row>
    <row r="3841" spans="1:7" s="1088" customFormat="1" ht="14.25" x14ac:dyDescent="0.2">
      <c r="A3841" s="209"/>
      <c r="B3841" s="259"/>
      <c r="C3841" s="260"/>
      <c r="D3841" s="443"/>
      <c r="E3841" s="276"/>
      <c r="F3841" s="222"/>
      <c r="G3841" s="224"/>
    </row>
    <row r="3842" spans="1:7" s="1088" customFormat="1" ht="14.25" x14ac:dyDescent="0.2">
      <c r="A3842" s="209"/>
      <c r="B3842" s="259"/>
      <c r="C3842" s="260"/>
      <c r="D3842" s="443"/>
      <c r="E3842" s="276"/>
      <c r="F3842" s="222"/>
      <c r="G3842" s="224"/>
    </row>
    <row r="3843" spans="1:7" s="1088" customFormat="1" ht="14.25" x14ac:dyDescent="0.2">
      <c r="A3843" s="209"/>
      <c r="B3843" s="245"/>
      <c r="C3843" s="265"/>
      <c r="D3843" s="246"/>
      <c r="E3843" s="265"/>
      <c r="F3843" s="266"/>
      <c r="G3843" s="267"/>
    </row>
    <row r="3844" spans="1:7" s="1088" customFormat="1" ht="14.25" x14ac:dyDescent="0.2">
      <c r="A3844" s="249"/>
      <c r="B3844" s="250"/>
      <c r="C3844" s="252"/>
      <c r="D3844" s="251"/>
      <c r="E3844" s="252"/>
      <c r="F3844" s="254"/>
      <c r="G3844" s="268"/>
    </row>
    <row r="3845" spans="1:7" s="1088" customFormat="1" ht="15" x14ac:dyDescent="0.25">
      <c r="A3845" s="209"/>
      <c r="B3845" s="212"/>
      <c r="C3845" s="211"/>
      <c r="D3845" s="212"/>
      <c r="E3845" s="269"/>
      <c r="F3845" s="269" t="s">
        <v>121</v>
      </c>
      <c r="G3845" s="270">
        <f>+SUM(G3839:G3844)</f>
        <v>15417</v>
      </c>
    </row>
    <row r="3846" spans="1:7" s="1088" customFormat="1" ht="14.25" x14ac:dyDescent="0.2">
      <c r="A3846" s="209"/>
      <c r="B3846" s="212"/>
      <c r="C3846" s="211"/>
      <c r="D3846" s="212"/>
      <c r="E3846" s="213"/>
      <c r="F3846" s="214"/>
      <c r="G3846" s="271"/>
    </row>
    <row r="3847" spans="1:7" s="1088" customFormat="1" ht="15" x14ac:dyDescent="0.25">
      <c r="A3847" s="277"/>
      <c r="B3847" s="278"/>
      <c r="C3847" s="278"/>
      <c r="D3847" s="278"/>
      <c r="E3847" s="279"/>
      <c r="F3847" s="280" t="s">
        <v>137</v>
      </c>
      <c r="G3847" s="283">
        <f>+ROUND(G3813+G3824+G3834+G3839,0)</f>
        <v>79986</v>
      </c>
    </row>
    <row r="3848" spans="1:7" s="745" customFormat="1" ht="15" x14ac:dyDescent="0.25">
      <c r="A3848" s="1088"/>
      <c r="B3848" s="1088"/>
      <c r="C3848" s="1088"/>
      <c r="D3848" s="1088"/>
      <c r="E3848" s="1088"/>
      <c r="F3848" s="1088"/>
      <c r="G3848" s="1088"/>
    </row>
    <row r="3849" spans="1:7" s="745" customFormat="1" ht="15" x14ac:dyDescent="0.25">
      <c r="A3849" s="298" t="s">
        <v>160</v>
      </c>
      <c r="B3849" s="1355" t="s">
        <v>161</v>
      </c>
      <c r="C3849" s="1355"/>
      <c r="D3849" s="1355"/>
      <c r="E3849" s="1355"/>
      <c r="F3849" s="1355"/>
      <c r="G3849" s="299" t="s">
        <v>2</v>
      </c>
    </row>
    <row r="3850" spans="1:7" s="745" customFormat="1" ht="15" x14ac:dyDescent="0.25">
      <c r="A3850" s="38">
        <f>'FORMATO PROPUESTA ECONÓMICA'!A136</f>
        <v>11.3</v>
      </c>
      <c r="B3850" s="1277" t="str">
        <f>'FORMATO PROPUESTA ECONÓMICA'!B136</f>
        <v xml:space="preserve">Suministro, transporte y Colocación de concreto para la  reconstrucción de pavimentos rígidos con módulo de rotura igual o superior a 28MPa , para parcheo de zanjas y apiques. </v>
      </c>
      <c r="C3850" s="1278"/>
      <c r="D3850" s="1278"/>
      <c r="E3850" s="1278"/>
      <c r="F3850" s="1279"/>
      <c r="G3850" s="33" t="str">
        <f>'FORMATO PROPUESTA ECONÓMICA'!C136</f>
        <v>m3</v>
      </c>
    </row>
    <row r="3851" spans="1:7" s="745" customFormat="1" ht="15" x14ac:dyDescent="0.25">
      <c r="A3851" s="182"/>
      <c r="B3851" s="1079"/>
      <c r="C3851" s="301"/>
      <c r="D3851" s="182"/>
      <c r="E3851" s="302"/>
      <c r="F3851" s="303"/>
      <c r="G3851" s="304"/>
    </row>
    <row r="3852" spans="1:7" s="745" customFormat="1" ht="15" x14ac:dyDescent="0.25">
      <c r="A3852" s="305" t="s">
        <v>115</v>
      </c>
      <c r="B3852" s="182"/>
      <c r="C3852" s="301"/>
      <c r="D3852" s="182"/>
      <c r="E3852" s="302"/>
      <c r="F3852" s="303"/>
      <c r="G3852" s="304"/>
    </row>
    <row r="3853" spans="1:7" s="745" customFormat="1" ht="15" x14ac:dyDescent="0.25">
      <c r="A3853" s="182"/>
      <c r="B3853" s="182"/>
      <c r="C3853" s="301"/>
      <c r="D3853" s="182"/>
      <c r="E3853" s="302"/>
      <c r="F3853" s="303"/>
      <c r="G3853" s="304"/>
    </row>
    <row r="3854" spans="1:7" s="745" customFormat="1" ht="15" x14ac:dyDescent="0.25">
      <c r="A3854" s="1268" t="s">
        <v>116</v>
      </c>
      <c r="B3854" s="1268"/>
      <c r="C3854" s="306" t="s">
        <v>117</v>
      </c>
      <c r="D3854" s="1075" t="s">
        <v>118</v>
      </c>
      <c r="E3854" s="218" t="s">
        <v>39</v>
      </c>
      <c r="F3854" s="1075" t="s">
        <v>119</v>
      </c>
      <c r="G3854" s="307" t="s">
        <v>120</v>
      </c>
    </row>
    <row r="3855" spans="1:7" s="745" customFormat="1" ht="15" x14ac:dyDescent="0.25">
      <c r="A3855" s="1260" t="s">
        <v>200</v>
      </c>
      <c r="B3855" s="1260"/>
      <c r="C3855" s="318" t="s">
        <v>15</v>
      </c>
      <c r="D3855" s="314">
        <v>503965</v>
      </c>
      <c r="E3855" s="315">
        <v>1</v>
      </c>
      <c r="F3855" s="457">
        <v>0.05</v>
      </c>
      <c r="G3855" s="317">
        <f>E3855*D3855</f>
        <v>503965</v>
      </c>
    </row>
    <row r="3856" spans="1:7" s="745" customFormat="1" ht="15" x14ac:dyDescent="0.25">
      <c r="A3856" s="1260"/>
      <c r="B3856" s="1260"/>
      <c r="C3856" s="313"/>
      <c r="D3856" s="314"/>
      <c r="E3856" s="315"/>
      <c r="F3856" s="369"/>
      <c r="G3856" s="317">
        <f>D3856*E3856</f>
        <v>0</v>
      </c>
    </row>
    <row r="3857" spans="1:7" s="745" customFormat="1" ht="15" x14ac:dyDescent="0.25">
      <c r="A3857" s="1260"/>
      <c r="B3857" s="1260"/>
      <c r="C3857" s="313"/>
      <c r="D3857" s="314"/>
      <c r="E3857" s="315"/>
      <c r="F3857" s="369"/>
      <c r="G3857" s="317">
        <f>E3857*D3857</f>
        <v>0</v>
      </c>
    </row>
    <row r="3858" spans="1:7" s="745" customFormat="1" ht="15" x14ac:dyDescent="0.25">
      <c r="A3858" s="1260"/>
      <c r="B3858" s="1260"/>
      <c r="C3858" s="318"/>
      <c r="D3858" s="314"/>
      <c r="E3858" s="315"/>
      <c r="F3858" s="369"/>
      <c r="G3858" s="317">
        <f>E3858*D3858</f>
        <v>0</v>
      </c>
    </row>
    <row r="3859" spans="1:7" s="745" customFormat="1" ht="15" x14ac:dyDescent="0.25">
      <c r="A3859" s="1260"/>
      <c r="B3859" s="1260"/>
      <c r="C3859" s="313"/>
      <c r="D3859" s="314"/>
      <c r="E3859" s="315"/>
      <c r="F3859" s="316"/>
      <c r="G3859" s="317">
        <f>E3859*D3859</f>
        <v>0</v>
      </c>
    </row>
    <row r="3860" spans="1:7" s="745" customFormat="1" ht="15" x14ac:dyDescent="0.25">
      <c r="A3860" s="1260"/>
      <c r="B3860" s="1260"/>
      <c r="C3860" s="318"/>
      <c r="D3860" s="314"/>
      <c r="E3860" s="370"/>
      <c r="F3860" s="319"/>
      <c r="G3860" s="317"/>
    </row>
    <row r="3861" spans="1:7" s="745" customFormat="1" ht="15" x14ac:dyDescent="0.25">
      <c r="A3861" s="1079"/>
      <c r="B3861" s="1079"/>
      <c r="C3861" s="301"/>
      <c r="D3861" s="182"/>
      <c r="E3861" s="182"/>
      <c r="F3861" s="320" t="s">
        <v>121</v>
      </c>
      <c r="G3861" s="314">
        <f>+SUM(G3855:G3860)</f>
        <v>503965</v>
      </c>
    </row>
    <row r="3862" spans="1:7" s="745" customFormat="1" ht="15" x14ac:dyDescent="0.25">
      <c r="A3862" s="182"/>
      <c r="B3862" s="182"/>
      <c r="C3862" s="301" t="s">
        <v>123</v>
      </c>
      <c r="D3862" s="182"/>
      <c r="E3862" s="302"/>
      <c r="F3862" s="303"/>
      <c r="G3862" s="304"/>
    </row>
    <row r="3863" spans="1:7" s="745" customFormat="1" ht="15" x14ac:dyDescent="0.25">
      <c r="A3863" s="305" t="s">
        <v>122</v>
      </c>
      <c r="B3863" s="182"/>
      <c r="C3863" s="301" t="s">
        <v>123</v>
      </c>
      <c r="D3863" s="182"/>
      <c r="E3863" s="302"/>
      <c r="F3863" s="303"/>
      <c r="G3863" s="304"/>
    </row>
    <row r="3864" spans="1:7" s="745" customFormat="1" ht="15" customHeight="1" x14ac:dyDescent="0.25">
      <c r="A3864" s="182"/>
      <c r="B3864" s="182"/>
      <c r="C3864" s="301"/>
      <c r="D3864" s="182"/>
      <c r="E3864" s="302"/>
      <c r="F3864" s="303"/>
      <c r="G3864" s="304"/>
    </row>
    <row r="3865" spans="1:7" s="745" customFormat="1" ht="15" x14ac:dyDescent="0.25">
      <c r="A3865" s="1268" t="s">
        <v>116</v>
      </c>
      <c r="B3865" s="1268"/>
      <c r="C3865" s="306" t="s">
        <v>117</v>
      </c>
      <c r="D3865" s="1075" t="s">
        <v>124</v>
      </c>
      <c r="E3865" s="1075" t="s">
        <v>39</v>
      </c>
      <c r="F3865" s="321" t="s">
        <v>126</v>
      </c>
      <c r="G3865" s="307" t="s">
        <v>120</v>
      </c>
    </row>
    <row r="3866" spans="1:7" s="745" customFormat="1" ht="15" x14ac:dyDescent="0.25">
      <c r="A3866" s="1260"/>
      <c r="B3866" s="1260"/>
      <c r="C3866" s="318"/>
      <c r="D3866" s="312"/>
      <c r="E3866" s="322"/>
      <c r="F3866" s="323"/>
      <c r="G3866" s="324"/>
    </row>
    <row r="3867" spans="1:7" s="745" customFormat="1" ht="15" x14ac:dyDescent="0.25">
      <c r="A3867" s="1260"/>
      <c r="B3867" s="1260"/>
      <c r="C3867" s="313"/>
      <c r="D3867" s="312"/>
      <c r="E3867" s="325"/>
      <c r="F3867" s="310"/>
      <c r="G3867" s="324"/>
    </row>
    <row r="3868" spans="1:7" s="745" customFormat="1" ht="15" x14ac:dyDescent="0.25">
      <c r="A3868" s="1354"/>
      <c r="B3868" s="1354"/>
      <c r="C3868" s="313"/>
      <c r="D3868" s="314"/>
      <c r="E3868" s="325"/>
      <c r="F3868" s="323"/>
      <c r="G3868" s="324"/>
    </row>
    <row r="3869" spans="1:7" s="745" customFormat="1" ht="15" x14ac:dyDescent="0.25">
      <c r="A3869" s="182"/>
      <c r="B3869" s="303"/>
      <c r="C3869" s="318"/>
      <c r="D3869" s="314"/>
      <c r="E3869" s="325"/>
      <c r="F3869" s="323"/>
      <c r="G3869" s="258"/>
    </row>
    <row r="3870" spans="1:7" s="745" customFormat="1" ht="15" x14ac:dyDescent="0.25">
      <c r="A3870" s="182"/>
      <c r="B3870" s="303"/>
      <c r="C3870" s="318"/>
      <c r="D3870" s="326"/>
      <c r="E3870" s="325"/>
      <c r="F3870" s="303"/>
      <c r="G3870" s="327"/>
    </row>
    <row r="3871" spans="1:7" s="745" customFormat="1" ht="15" x14ac:dyDescent="0.25">
      <c r="A3871" s="182"/>
      <c r="B3871" s="303"/>
      <c r="C3871" s="318"/>
      <c r="D3871" s="303"/>
      <c r="E3871" s="182"/>
      <c r="F3871" s="320" t="s">
        <v>121</v>
      </c>
      <c r="G3871" s="258">
        <f>+SUM(G3866:G3870)</f>
        <v>0</v>
      </c>
    </row>
    <row r="3872" spans="1:7" s="745" customFormat="1" ht="15" x14ac:dyDescent="0.25">
      <c r="A3872" s="182"/>
      <c r="B3872" s="182"/>
      <c r="C3872" s="301"/>
      <c r="D3872" s="182"/>
      <c r="E3872" s="302"/>
      <c r="F3872" s="182"/>
      <c r="G3872" s="304"/>
    </row>
    <row r="3873" spans="1:7" s="745" customFormat="1" ht="15" x14ac:dyDescent="0.25">
      <c r="A3873" s="305" t="s">
        <v>130</v>
      </c>
      <c r="B3873" s="182"/>
      <c r="C3873" s="301"/>
      <c r="D3873" s="182"/>
      <c r="E3873" s="302"/>
      <c r="F3873" s="303"/>
      <c r="G3873" s="304"/>
    </row>
    <row r="3874" spans="1:7" s="745" customFormat="1" ht="15" x14ac:dyDescent="0.25">
      <c r="A3874" s="182"/>
      <c r="B3874" s="182"/>
      <c r="C3874" s="301"/>
      <c r="D3874" s="182"/>
      <c r="E3874" s="302"/>
      <c r="F3874" s="303"/>
      <c r="G3874" s="304"/>
    </row>
    <row r="3875" spans="1:7" s="745" customFormat="1" ht="15" x14ac:dyDescent="0.25">
      <c r="A3875" s="1268" t="s">
        <v>116</v>
      </c>
      <c r="B3875" s="1268"/>
      <c r="C3875" s="1075" t="s">
        <v>131</v>
      </c>
      <c r="D3875" s="306" t="s">
        <v>132</v>
      </c>
      <c r="E3875" s="1075" t="s">
        <v>133</v>
      </c>
      <c r="F3875" s="321" t="s">
        <v>126</v>
      </c>
      <c r="G3875" s="307" t="s">
        <v>134</v>
      </c>
    </row>
    <row r="3876" spans="1:7" s="745" customFormat="1" ht="15" x14ac:dyDescent="0.25">
      <c r="A3876" s="182" t="s">
        <v>201</v>
      </c>
      <c r="B3876" s="334"/>
      <c r="C3876" s="329">
        <f>M2*4</f>
        <v>91927.2</v>
      </c>
      <c r="D3876" s="458">
        <f>N2</f>
        <v>1.76</v>
      </c>
      <c r="E3876" s="183">
        <f>C3876*D3876</f>
        <v>161791.872</v>
      </c>
      <c r="F3876" s="331">
        <v>4</v>
      </c>
      <c r="G3876" s="314">
        <f>E3876/F3876</f>
        <v>40447.968000000001</v>
      </c>
    </row>
    <row r="3877" spans="1:7" s="745" customFormat="1" ht="15" x14ac:dyDescent="0.25">
      <c r="A3877" s="182" t="s">
        <v>140</v>
      </c>
      <c r="B3877" s="328"/>
      <c r="C3877" s="329">
        <f>M3</f>
        <v>40000</v>
      </c>
      <c r="D3877" s="330">
        <f>N3</f>
        <v>1.76</v>
      </c>
      <c r="E3877" s="183">
        <f>C3877*D3877</f>
        <v>70400</v>
      </c>
      <c r="F3877" s="323">
        <v>4</v>
      </c>
      <c r="G3877" s="314">
        <f>E3877/F3877</f>
        <v>17600</v>
      </c>
    </row>
    <row r="3878" spans="1:7" s="745" customFormat="1" ht="15" x14ac:dyDescent="0.25">
      <c r="A3878" s="182"/>
      <c r="B3878" s="328"/>
      <c r="C3878" s="329"/>
      <c r="D3878" s="330"/>
      <c r="E3878" s="314"/>
      <c r="F3878" s="323"/>
      <c r="G3878" s="314"/>
    </row>
    <row r="3879" spans="1:7" s="745" customFormat="1" ht="15" x14ac:dyDescent="0.25">
      <c r="A3879" s="182"/>
      <c r="B3879" s="303"/>
      <c r="C3879" s="326"/>
      <c r="D3879" s="318"/>
      <c r="E3879" s="326"/>
      <c r="F3879" s="303"/>
      <c r="G3879" s="326"/>
    </row>
    <row r="3880" spans="1:7" s="745" customFormat="1" ht="14.25" customHeight="1" x14ac:dyDescent="0.25">
      <c r="A3880" s="182"/>
      <c r="B3880" s="303"/>
      <c r="C3880" s="326"/>
      <c r="D3880" s="318"/>
      <c r="E3880" s="326"/>
      <c r="F3880" s="303"/>
      <c r="G3880" s="326"/>
    </row>
    <row r="3881" spans="1:7" s="745" customFormat="1" ht="15" x14ac:dyDescent="0.25">
      <c r="A3881" s="182"/>
      <c r="B3881" s="182"/>
      <c r="C3881" s="301"/>
      <c r="D3881" s="182"/>
      <c r="E3881" s="320"/>
      <c r="F3881" s="320" t="s">
        <v>121</v>
      </c>
      <c r="G3881" s="314">
        <f>+SUM(G3876:G3880)</f>
        <v>58047.968000000001</v>
      </c>
    </row>
    <row r="3882" spans="1:7" s="745" customFormat="1" ht="15" x14ac:dyDescent="0.25">
      <c r="A3882" s="182"/>
      <c r="B3882" s="182"/>
      <c r="C3882" s="301"/>
      <c r="D3882" s="182"/>
      <c r="E3882" s="320"/>
      <c r="F3882" s="320"/>
      <c r="G3882" s="314"/>
    </row>
    <row r="3883" spans="1:7" s="745" customFormat="1" ht="15" x14ac:dyDescent="0.25">
      <c r="A3883" s="305" t="s">
        <v>135</v>
      </c>
      <c r="B3883" s="182"/>
      <c r="C3883" s="301"/>
      <c r="D3883" s="182"/>
      <c r="E3883" s="302"/>
      <c r="F3883" s="303"/>
      <c r="G3883" s="304"/>
    </row>
    <row r="3884" spans="1:7" s="745" customFormat="1" ht="15" x14ac:dyDescent="0.25">
      <c r="A3884" s="182"/>
      <c r="B3884" s="182"/>
      <c r="C3884" s="301"/>
      <c r="D3884" s="182"/>
      <c r="E3884" s="302"/>
      <c r="F3884" s="303"/>
      <c r="G3884" s="304"/>
    </row>
    <row r="3885" spans="1:7" s="745" customFormat="1" ht="15" x14ac:dyDescent="0.25">
      <c r="A3885" s="1268" t="s">
        <v>116</v>
      </c>
      <c r="B3885" s="1268"/>
      <c r="C3885" s="1075" t="s">
        <v>117</v>
      </c>
      <c r="D3885" s="306" t="s">
        <v>196</v>
      </c>
      <c r="E3885" s="1075" t="s">
        <v>197</v>
      </c>
      <c r="F3885" s="321" t="s">
        <v>126</v>
      </c>
      <c r="G3885" s="307" t="s">
        <v>134</v>
      </c>
    </row>
    <row r="3886" spans="1:7" s="745" customFormat="1" ht="15" x14ac:dyDescent="0.25">
      <c r="A3886" s="182"/>
      <c r="B3886" s="334"/>
      <c r="C3886" s="329"/>
      <c r="D3886" s="330"/>
      <c r="E3886" s="459"/>
      <c r="F3886" s="460"/>
      <c r="G3886" s="314">
        <f>D3886*E3886*F3886</f>
        <v>0</v>
      </c>
    </row>
    <row r="3887" spans="1:7" s="745" customFormat="1" ht="15" x14ac:dyDescent="0.25">
      <c r="A3887" s="182"/>
      <c r="B3887" s="334"/>
      <c r="C3887" s="329"/>
      <c r="D3887" s="330"/>
      <c r="E3887" s="314"/>
      <c r="F3887" s="323"/>
      <c r="G3887" s="314"/>
    </row>
    <row r="3888" spans="1:7" s="745" customFormat="1" ht="15" x14ac:dyDescent="0.25">
      <c r="A3888" s="182"/>
      <c r="B3888" s="328"/>
      <c r="C3888" s="329"/>
      <c r="D3888" s="330"/>
      <c r="E3888" s="314"/>
      <c r="F3888" s="323"/>
      <c r="G3888" s="314"/>
    </row>
    <row r="3889" spans="1:7" s="745" customFormat="1" ht="15" x14ac:dyDescent="0.25">
      <c r="A3889" s="182"/>
      <c r="B3889" s="328"/>
      <c r="C3889" s="329"/>
      <c r="D3889" s="330"/>
      <c r="E3889" s="314"/>
      <c r="F3889" s="323"/>
      <c r="G3889" s="314"/>
    </row>
    <row r="3890" spans="1:7" s="745" customFormat="1" ht="15" x14ac:dyDescent="0.25">
      <c r="A3890" s="182"/>
      <c r="B3890" s="303"/>
      <c r="C3890" s="326"/>
      <c r="D3890" s="318"/>
      <c r="E3890" s="326"/>
      <c r="F3890" s="303"/>
      <c r="G3890" s="326"/>
    </row>
    <row r="3891" spans="1:7" s="745" customFormat="1" ht="15" x14ac:dyDescent="0.25">
      <c r="A3891" s="182"/>
      <c r="B3891" s="303"/>
      <c r="C3891" s="326"/>
      <c r="D3891" s="318"/>
      <c r="E3891" s="326"/>
      <c r="F3891" s="303"/>
      <c r="G3891" s="326"/>
    </row>
    <row r="3892" spans="1:7" s="745" customFormat="1" ht="15" x14ac:dyDescent="0.25">
      <c r="A3892" s="209"/>
      <c r="B3892" s="212"/>
      <c r="C3892" s="211"/>
      <c r="D3892" s="212"/>
      <c r="E3892" s="257"/>
      <c r="F3892" s="257" t="s">
        <v>121</v>
      </c>
      <c r="G3892" s="461">
        <f>+SUM(G3886:G3891)</f>
        <v>0</v>
      </c>
    </row>
    <row r="3893" spans="1:7" s="745" customFormat="1" ht="15" x14ac:dyDescent="0.25">
      <c r="A3893" s="209"/>
      <c r="B3893" s="212"/>
      <c r="C3893" s="211"/>
      <c r="D3893" s="212"/>
      <c r="E3893" s="213"/>
      <c r="F3893" s="214"/>
      <c r="G3893" s="271"/>
    </row>
    <row r="3894" spans="1:7" s="745" customFormat="1" ht="15" x14ac:dyDescent="0.25">
      <c r="A3894" s="277"/>
      <c r="B3894" s="278"/>
      <c r="C3894" s="278"/>
      <c r="D3894" s="278"/>
      <c r="E3894" s="279"/>
      <c r="F3894" s="280" t="s">
        <v>137</v>
      </c>
      <c r="G3894" s="283">
        <f>+ROUND(G3861+G3871+G3881+G3886,0)</f>
        <v>562013</v>
      </c>
    </row>
    <row r="3895" spans="1:7" s="745" customFormat="1" ht="15" x14ac:dyDescent="0.25">
      <c r="A3895" s="209"/>
      <c r="B3895" s="212"/>
      <c r="C3895" s="212"/>
      <c r="D3895" s="212"/>
      <c r="E3895" s="211"/>
      <c r="F3895" s="257"/>
      <c r="G3895" s="257"/>
    </row>
    <row r="3896" spans="1:7" ht="15" x14ac:dyDescent="0.25"/>
    <row r="3897" spans="1:7" ht="15" x14ac:dyDescent="0.25">
      <c r="A3897" s="445" t="s">
        <v>160</v>
      </c>
      <c r="B3897" s="1268" t="s">
        <v>161</v>
      </c>
      <c r="C3897" s="1268"/>
      <c r="D3897" s="1268"/>
      <c r="E3897" s="1268"/>
      <c r="F3897" s="1268"/>
      <c r="G3897" s="146" t="s">
        <v>2</v>
      </c>
    </row>
    <row r="3898" spans="1:7" ht="15" x14ac:dyDescent="0.25">
      <c r="A3898" s="208">
        <f>'FORMATO PROPUESTA ECONÓMICA'!A137</f>
        <v>11.4</v>
      </c>
      <c r="B3898" s="1265" t="str">
        <f>'FORMATO PROPUESTA ECONÓMICA'!B137</f>
        <v xml:space="preserve">Suministro, transporte, colocación y compactación de pavimento asfáltico, para parcheo de zanjas y apiques (incluye riego de liga) </v>
      </c>
      <c r="C3898" s="1266"/>
      <c r="D3898" s="1266"/>
      <c r="E3898" s="1266"/>
      <c r="F3898" s="1267"/>
      <c r="G3898" s="187" t="str">
        <f>'FORMATO PROPUESTA ECONÓMICA'!C137</f>
        <v>m3</v>
      </c>
    </row>
    <row r="3899" spans="1:7" ht="15" x14ac:dyDescent="0.25">
      <c r="A3899" s="209"/>
      <c r="B3899" s="210"/>
      <c r="C3899" s="211"/>
      <c r="D3899" s="212"/>
      <c r="E3899" s="213"/>
      <c r="F3899" s="214"/>
      <c r="G3899" s="215"/>
    </row>
    <row r="3900" spans="1:7" ht="15" customHeight="1" x14ac:dyDescent="0.25">
      <c r="A3900" s="216" t="s">
        <v>115</v>
      </c>
      <c r="B3900" s="212"/>
      <c r="C3900" s="211"/>
      <c r="D3900" s="212"/>
      <c r="E3900" s="213"/>
      <c r="F3900" s="214"/>
      <c r="G3900" s="215"/>
    </row>
    <row r="3901" spans="1:7" ht="15" x14ac:dyDescent="0.25">
      <c r="A3901" s="209"/>
      <c r="B3901" s="212"/>
      <c r="C3901" s="211"/>
      <c r="D3901" s="212"/>
      <c r="E3901" s="213"/>
      <c r="F3901" s="214"/>
      <c r="G3901" s="215"/>
    </row>
    <row r="3902" spans="1:7" ht="15" x14ac:dyDescent="0.25">
      <c r="A3902" s="1360" t="s">
        <v>116</v>
      </c>
      <c r="B3902" s="1361"/>
      <c r="C3902" s="217"/>
      <c r="D3902" s="1075" t="s">
        <v>202</v>
      </c>
      <c r="E3902" s="218" t="s">
        <v>39</v>
      </c>
      <c r="F3902" s="1075" t="s">
        <v>119</v>
      </c>
      <c r="G3902" s="219" t="s">
        <v>120</v>
      </c>
    </row>
    <row r="3903" spans="1:7" ht="15" x14ac:dyDescent="0.25">
      <c r="A3903" s="1306" t="s">
        <v>203</v>
      </c>
      <c r="B3903" s="1307"/>
      <c r="C3903" s="446"/>
      <c r="D3903" s="447">
        <v>800000</v>
      </c>
      <c r="E3903" s="448">
        <v>1</v>
      </c>
      <c r="F3903" s="448">
        <v>40</v>
      </c>
      <c r="G3903" s="450">
        <f>E3903*D3903/F3903</f>
        <v>20000</v>
      </c>
    </row>
    <row r="3904" spans="1:7" ht="15" x14ac:dyDescent="0.25">
      <c r="A3904" s="1308"/>
      <c r="B3904" s="1309"/>
      <c r="C3904" s="225"/>
      <c r="D3904" s="221"/>
      <c r="E3904" s="451"/>
      <c r="F3904" s="452"/>
      <c r="G3904" s="228">
        <f>D3904*E3904</f>
        <v>0</v>
      </c>
    </row>
    <row r="3905" spans="1:7" ht="15" customHeight="1" x14ac:dyDescent="0.25">
      <c r="A3905" s="1308"/>
      <c r="B3905" s="1309"/>
      <c r="C3905" s="225"/>
      <c r="D3905" s="221"/>
      <c r="E3905" s="451"/>
      <c r="F3905" s="452"/>
      <c r="G3905" s="228">
        <f>E3905*D3905</f>
        <v>0</v>
      </c>
    </row>
    <row r="3906" spans="1:7" ht="15" x14ac:dyDescent="0.25">
      <c r="A3906" s="1308"/>
      <c r="B3906" s="1309"/>
      <c r="C3906" s="229"/>
      <c r="D3906" s="221"/>
      <c r="E3906" s="451"/>
      <c r="F3906" s="452"/>
      <c r="G3906" s="228">
        <f>E3906*D3906</f>
        <v>0</v>
      </c>
    </row>
    <row r="3907" spans="1:7" ht="15" x14ac:dyDescent="0.25">
      <c r="A3907" s="1308"/>
      <c r="B3907" s="1309"/>
      <c r="C3907" s="225"/>
      <c r="D3907" s="221"/>
      <c r="E3907" s="451"/>
      <c r="F3907" s="227"/>
      <c r="G3907" s="228">
        <f>E3907*D3907</f>
        <v>0</v>
      </c>
    </row>
    <row r="3908" spans="1:7" ht="15" x14ac:dyDescent="0.25">
      <c r="A3908" s="1310"/>
      <c r="B3908" s="1311"/>
      <c r="C3908" s="230"/>
      <c r="D3908" s="231"/>
      <c r="E3908" s="453"/>
      <c r="F3908" s="233"/>
      <c r="G3908" s="454"/>
    </row>
    <row r="3909" spans="1:7" ht="15" x14ac:dyDescent="0.25">
      <c r="A3909" s="1073"/>
      <c r="B3909" s="210"/>
      <c r="C3909" s="211"/>
      <c r="D3909" s="212"/>
      <c r="E3909" s="212"/>
      <c r="F3909" s="234" t="s">
        <v>121</v>
      </c>
      <c r="G3909" s="231">
        <f>+SUM(G3903:G3908)</f>
        <v>20000</v>
      </c>
    </row>
    <row r="3910" spans="1:7" ht="15" x14ac:dyDescent="0.25">
      <c r="A3910" s="209"/>
      <c r="B3910" s="212"/>
      <c r="C3910" s="211" t="s">
        <v>123</v>
      </c>
      <c r="D3910" s="212"/>
      <c r="E3910" s="213"/>
      <c r="F3910" s="214"/>
      <c r="G3910" s="215"/>
    </row>
    <row r="3911" spans="1:7" ht="15" x14ac:dyDescent="0.25">
      <c r="A3911" s="216" t="s">
        <v>122</v>
      </c>
      <c r="B3911" s="212"/>
      <c r="C3911" s="211" t="s">
        <v>123</v>
      </c>
      <c r="D3911" s="212"/>
      <c r="E3911" s="213"/>
      <c r="F3911" s="214"/>
      <c r="G3911" s="215"/>
    </row>
    <row r="3912" spans="1:7" ht="15" x14ac:dyDescent="0.25">
      <c r="A3912" s="209"/>
      <c r="B3912" s="212"/>
      <c r="C3912" s="211"/>
      <c r="D3912" s="212"/>
      <c r="E3912" s="213"/>
      <c r="F3912" s="214"/>
      <c r="G3912" s="215"/>
    </row>
    <row r="3913" spans="1:7" ht="15" x14ac:dyDescent="0.25">
      <c r="A3913" s="1350" t="s">
        <v>116</v>
      </c>
      <c r="B3913" s="1351"/>
      <c r="C3913" s="235" t="s">
        <v>117</v>
      </c>
      <c r="D3913" s="236" t="s">
        <v>124</v>
      </c>
      <c r="E3913" s="236" t="s">
        <v>39</v>
      </c>
      <c r="F3913" s="237" t="s">
        <v>119</v>
      </c>
      <c r="G3913" s="238" t="s">
        <v>120</v>
      </c>
    </row>
    <row r="3914" spans="1:7" ht="15" x14ac:dyDescent="0.25">
      <c r="A3914" s="1362" t="s">
        <v>204</v>
      </c>
      <c r="B3914" s="1363"/>
      <c r="C3914" s="239" t="s">
        <v>15</v>
      </c>
      <c r="D3914" s="240">
        <v>1</v>
      </c>
      <c r="E3914" s="241">
        <v>670000</v>
      </c>
      <c r="F3914" s="222">
        <v>1.05</v>
      </c>
      <c r="G3914" s="242">
        <f>D3914*E3914*F3914</f>
        <v>703500</v>
      </c>
    </row>
    <row r="3915" spans="1:7" ht="15" x14ac:dyDescent="0.25">
      <c r="A3915" s="1308" t="s">
        <v>17</v>
      </c>
      <c r="B3915" s="1309"/>
      <c r="C3915" s="243" t="s">
        <v>205</v>
      </c>
      <c r="D3915" s="292">
        <v>5</v>
      </c>
      <c r="E3915" s="455">
        <v>35000</v>
      </c>
      <c r="F3915" s="290">
        <v>1.05</v>
      </c>
      <c r="G3915" s="242">
        <f>D3915*E3915*F3915</f>
        <v>183750</v>
      </c>
    </row>
    <row r="3916" spans="1:7" ht="15" x14ac:dyDescent="0.25">
      <c r="A3916" s="1352"/>
      <c r="B3916" s="1353"/>
      <c r="C3916" s="243"/>
      <c r="D3916" s="221"/>
      <c r="E3916" s="244"/>
      <c r="F3916" s="222"/>
      <c r="G3916" s="242"/>
    </row>
    <row r="3917" spans="1:7" ht="15" x14ac:dyDescent="0.25">
      <c r="A3917" s="209"/>
      <c r="B3917" s="245"/>
      <c r="C3917" s="246"/>
      <c r="D3917" s="221"/>
      <c r="E3917" s="247"/>
      <c r="F3917" s="222"/>
      <c r="G3917" s="248"/>
    </row>
    <row r="3918" spans="1:7" ht="15" x14ac:dyDescent="0.25">
      <c r="A3918" s="249"/>
      <c r="B3918" s="250"/>
      <c r="C3918" s="251"/>
      <c r="D3918" s="252"/>
      <c r="E3918" s="253"/>
      <c r="F3918" s="254"/>
      <c r="G3918" s="255"/>
    </row>
    <row r="3919" spans="1:7" ht="15" x14ac:dyDescent="0.25">
      <c r="A3919" s="209"/>
      <c r="B3919" s="214"/>
      <c r="C3919" s="256"/>
      <c r="D3919" s="214"/>
      <c r="E3919" s="212"/>
      <c r="F3919" s="257" t="s">
        <v>121</v>
      </c>
      <c r="G3919" s="258">
        <f>+SUM(G3914:G3918)</f>
        <v>887250</v>
      </c>
    </row>
    <row r="3920" spans="1:7" ht="15" x14ac:dyDescent="0.25">
      <c r="A3920" s="209"/>
      <c r="B3920" s="212"/>
      <c r="C3920" s="211"/>
      <c r="D3920" s="212"/>
      <c r="E3920" s="213"/>
      <c r="F3920" s="212"/>
      <c r="G3920" s="215"/>
    </row>
    <row r="3921" spans="1:7" ht="15" x14ac:dyDescent="0.25">
      <c r="A3921" s="216" t="s">
        <v>130</v>
      </c>
      <c r="B3921" s="212"/>
      <c r="C3921" s="211"/>
      <c r="D3921" s="212"/>
      <c r="E3921" s="213"/>
      <c r="F3921" s="214"/>
      <c r="G3921" s="215"/>
    </row>
    <row r="3922" spans="1:7" ht="15" x14ac:dyDescent="0.25">
      <c r="A3922" s="209"/>
      <c r="B3922" s="212"/>
      <c r="C3922" s="211"/>
      <c r="D3922" s="212"/>
      <c r="E3922" s="213"/>
      <c r="F3922" s="214"/>
      <c r="G3922" s="215"/>
    </row>
    <row r="3923" spans="1:7" ht="15" x14ac:dyDescent="0.25">
      <c r="A3923" s="1350" t="s">
        <v>116</v>
      </c>
      <c r="B3923" s="1351"/>
      <c r="C3923" s="236" t="s">
        <v>131</v>
      </c>
      <c r="D3923" s="235" t="s">
        <v>132</v>
      </c>
      <c r="E3923" s="236" t="s">
        <v>133</v>
      </c>
      <c r="F3923" s="237" t="s">
        <v>126</v>
      </c>
      <c r="G3923" s="238" t="s">
        <v>134</v>
      </c>
    </row>
    <row r="3924" spans="1:7" ht="15" x14ac:dyDescent="0.25">
      <c r="A3924" s="209" t="s">
        <v>206</v>
      </c>
      <c r="B3924" s="275"/>
      <c r="C3924" s="260">
        <f>M2*5</f>
        <v>114909</v>
      </c>
      <c r="D3924" s="456">
        <f>N2</f>
        <v>1.76</v>
      </c>
      <c r="E3924" s="262">
        <f>C3924*D3924</f>
        <v>202239.84</v>
      </c>
      <c r="F3924" s="274">
        <v>20</v>
      </c>
      <c r="G3924" s="224">
        <f>E3924/F3924</f>
        <v>10111.992</v>
      </c>
    </row>
    <row r="3925" spans="1:7" ht="15" x14ac:dyDescent="0.25">
      <c r="A3925" s="209" t="s">
        <v>140</v>
      </c>
      <c r="B3925" s="259"/>
      <c r="C3925" s="260">
        <f>M3</f>
        <v>40000</v>
      </c>
      <c r="D3925" s="443">
        <f>N3</f>
        <v>1.76</v>
      </c>
      <c r="E3925" s="262">
        <f>C3925*D3925</f>
        <v>70400</v>
      </c>
      <c r="F3925" s="222">
        <v>20</v>
      </c>
      <c r="G3925" s="224">
        <f>E3925/F3925</f>
        <v>3520</v>
      </c>
    </row>
    <row r="3926" spans="1:7" ht="15" x14ac:dyDescent="0.25">
      <c r="A3926" s="209"/>
      <c r="B3926" s="259"/>
      <c r="C3926" s="260"/>
      <c r="D3926" s="443"/>
      <c r="E3926" s="276"/>
      <c r="F3926" s="222"/>
      <c r="G3926" s="224"/>
    </row>
    <row r="3927" spans="1:7" ht="15" x14ac:dyDescent="0.25">
      <c r="A3927" s="209"/>
      <c r="B3927" s="245"/>
      <c r="C3927" s="265"/>
      <c r="D3927" s="246"/>
      <c r="E3927" s="265"/>
      <c r="F3927" s="266"/>
      <c r="G3927" s="267"/>
    </row>
    <row r="3928" spans="1:7" ht="15" x14ac:dyDescent="0.25">
      <c r="A3928" s="249"/>
      <c r="B3928" s="250"/>
      <c r="C3928" s="252"/>
      <c r="D3928" s="251"/>
      <c r="E3928" s="252"/>
      <c r="F3928" s="254"/>
      <c r="G3928" s="268"/>
    </row>
    <row r="3929" spans="1:7" ht="15" x14ac:dyDescent="0.25">
      <c r="A3929" s="209"/>
      <c r="B3929" s="212"/>
      <c r="C3929" s="211"/>
      <c r="D3929" s="212"/>
      <c r="E3929" s="269"/>
      <c r="F3929" s="269" t="s">
        <v>121</v>
      </c>
      <c r="G3929" s="270">
        <f>+SUM(G3924:G3928)</f>
        <v>13631.992</v>
      </c>
    </row>
    <row r="3930" spans="1:7" ht="15" x14ac:dyDescent="0.25">
      <c r="A3930" s="209"/>
      <c r="B3930" s="212"/>
      <c r="C3930" s="211"/>
      <c r="D3930" s="212"/>
      <c r="E3930" s="257"/>
      <c r="F3930" s="257"/>
      <c r="G3930" s="271"/>
    </row>
    <row r="3931" spans="1:7" ht="15" x14ac:dyDescent="0.25">
      <c r="A3931" s="216" t="s">
        <v>135</v>
      </c>
      <c r="B3931" s="212"/>
      <c r="C3931" s="211"/>
      <c r="D3931" s="212"/>
      <c r="E3931" s="213"/>
      <c r="F3931" s="214"/>
      <c r="G3931" s="215"/>
    </row>
    <row r="3932" spans="1:7" ht="15" x14ac:dyDescent="0.25">
      <c r="A3932" s="209"/>
      <c r="B3932" s="212"/>
      <c r="C3932" s="211"/>
      <c r="D3932" s="212"/>
      <c r="E3932" s="213"/>
      <c r="F3932" s="214"/>
      <c r="G3932" s="215"/>
    </row>
    <row r="3933" spans="1:7" ht="15" x14ac:dyDescent="0.25">
      <c r="A3933" s="1350" t="s">
        <v>116</v>
      </c>
      <c r="B3933" s="1351"/>
      <c r="C3933" s="236" t="s">
        <v>117</v>
      </c>
      <c r="D3933" s="235" t="s">
        <v>196</v>
      </c>
      <c r="E3933" s="236" t="s">
        <v>197</v>
      </c>
      <c r="F3933" s="237" t="s">
        <v>126</v>
      </c>
      <c r="G3933" s="238" t="s">
        <v>134</v>
      </c>
    </row>
    <row r="3934" spans="1:7" ht="15" x14ac:dyDescent="0.25">
      <c r="A3934" s="209"/>
      <c r="B3934" s="275"/>
      <c r="C3934" s="260"/>
      <c r="D3934" s="443"/>
      <c r="E3934" s="338"/>
      <c r="F3934" s="444"/>
      <c r="G3934" s="224">
        <f>D3934*E3934*F3934</f>
        <v>0</v>
      </c>
    </row>
    <row r="3935" spans="1:7" ht="15" x14ac:dyDescent="0.25">
      <c r="A3935" s="209"/>
      <c r="B3935" s="275"/>
      <c r="C3935" s="260"/>
      <c r="D3935" s="443"/>
      <c r="E3935" s="276"/>
      <c r="F3935" s="222"/>
      <c r="G3935" s="224"/>
    </row>
    <row r="3936" spans="1:7" ht="15" x14ac:dyDescent="0.25">
      <c r="A3936" s="209"/>
      <c r="B3936" s="259"/>
      <c r="C3936" s="260"/>
      <c r="D3936" s="443"/>
      <c r="E3936" s="276"/>
      <c r="F3936" s="222"/>
      <c r="G3936" s="224"/>
    </row>
    <row r="3937" spans="1:7" ht="15" x14ac:dyDescent="0.25">
      <c r="A3937" s="209"/>
      <c r="B3937" s="259"/>
      <c r="C3937" s="260"/>
      <c r="D3937" s="443"/>
      <c r="E3937" s="276"/>
      <c r="F3937" s="222"/>
      <c r="G3937" s="224"/>
    </row>
    <row r="3938" spans="1:7" ht="15" x14ac:dyDescent="0.25">
      <c r="A3938" s="209"/>
      <c r="B3938" s="245"/>
      <c r="C3938" s="265"/>
      <c r="D3938" s="246"/>
      <c r="E3938" s="265"/>
      <c r="F3938" s="266"/>
      <c r="G3938" s="267"/>
    </row>
    <row r="3939" spans="1:7" ht="15" x14ac:dyDescent="0.25">
      <c r="A3939" s="249"/>
      <c r="B3939" s="250"/>
      <c r="C3939" s="252"/>
      <c r="D3939" s="251"/>
      <c r="E3939" s="252"/>
      <c r="F3939" s="254"/>
      <c r="G3939" s="268"/>
    </row>
    <row r="3940" spans="1:7" ht="15" x14ac:dyDescent="0.25">
      <c r="A3940" s="209"/>
      <c r="B3940" s="212"/>
      <c r="C3940" s="211"/>
      <c r="D3940" s="212"/>
      <c r="E3940" s="269"/>
      <c r="F3940" s="269" t="s">
        <v>121</v>
      </c>
      <c r="G3940" s="270">
        <f>+SUM(G3934:G3939)</f>
        <v>0</v>
      </c>
    </row>
    <row r="3941" spans="1:7" ht="15" x14ac:dyDescent="0.25">
      <c r="A3941" s="209"/>
      <c r="B3941" s="212"/>
      <c r="C3941" s="211"/>
      <c r="D3941" s="212"/>
      <c r="E3941" s="213"/>
      <c r="F3941" s="214"/>
      <c r="G3941" s="271"/>
    </row>
    <row r="3942" spans="1:7" ht="15" x14ac:dyDescent="0.25">
      <c r="A3942" s="277"/>
      <c r="B3942" s="278"/>
      <c r="C3942" s="278"/>
      <c r="D3942" s="278"/>
      <c r="E3942" s="279"/>
      <c r="F3942" s="280" t="s">
        <v>137</v>
      </c>
      <c r="G3942" s="283">
        <f>+ROUND(G3909+G3919+G3929+G3934,0)</f>
        <v>920882</v>
      </c>
    </row>
    <row r="3943" spans="1:7" ht="15" x14ac:dyDescent="0.25"/>
    <row r="3944" spans="1:7" ht="15" x14ac:dyDescent="0.25"/>
    <row r="3945" spans="1:7" ht="15" x14ac:dyDescent="0.25"/>
    <row r="3946" spans="1:7" ht="15" x14ac:dyDescent="0.25"/>
    <row r="3947" spans="1:7" ht="15" x14ac:dyDescent="0.25"/>
    <row r="3948" spans="1:7" ht="15" customHeight="1" x14ac:dyDescent="0.25"/>
    <row r="3949" spans="1:7" ht="15" x14ac:dyDescent="0.25"/>
    <row r="3950" spans="1:7" ht="15" x14ac:dyDescent="0.25"/>
    <row r="3951" spans="1:7" ht="15" x14ac:dyDescent="0.25"/>
    <row r="3952" spans="1:7" ht="15" x14ac:dyDescent="0.25"/>
    <row r="3953" ht="15" customHeight="1" x14ac:dyDescent="0.25"/>
    <row r="3954" ht="15" x14ac:dyDescent="0.25"/>
    <row r="3955" ht="15" x14ac:dyDescent="0.25"/>
    <row r="3956" ht="15" x14ac:dyDescent="0.25"/>
    <row r="3957" ht="15" x14ac:dyDescent="0.25"/>
    <row r="3958" ht="15" x14ac:dyDescent="0.25"/>
    <row r="3959" ht="15" x14ac:dyDescent="0.25"/>
    <row r="3960" ht="15" x14ac:dyDescent="0.25"/>
    <row r="3961" ht="15" x14ac:dyDescent="0.25"/>
    <row r="3962" ht="15" x14ac:dyDescent="0.25"/>
    <row r="3963" ht="15" customHeight="1" x14ac:dyDescent="0.25"/>
    <row r="3964" ht="15" x14ac:dyDescent="0.25"/>
    <row r="3965" ht="15" x14ac:dyDescent="0.25"/>
    <row r="3966" ht="15" x14ac:dyDescent="0.25"/>
    <row r="3967" ht="15" x14ac:dyDescent="0.25"/>
    <row r="3968" ht="15" x14ac:dyDescent="0.25"/>
    <row r="3969" ht="15" x14ac:dyDescent="0.25"/>
    <row r="3970" ht="15" x14ac:dyDescent="0.25"/>
    <row r="3971" ht="15" x14ac:dyDescent="0.25"/>
    <row r="3972" ht="15" x14ac:dyDescent="0.25"/>
    <row r="3973" ht="15" x14ac:dyDescent="0.25"/>
    <row r="3974" ht="15" x14ac:dyDescent="0.25"/>
    <row r="3975" ht="15" x14ac:dyDescent="0.25"/>
    <row r="3976" ht="15" x14ac:dyDescent="0.25"/>
    <row r="3977" ht="15" x14ac:dyDescent="0.25"/>
    <row r="3978" ht="15" x14ac:dyDescent="0.25"/>
    <row r="3979" ht="15" x14ac:dyDescent="0.25"/>
    <row r="3980" ht="15" x14ac:dyDescent="0.25"/>
    <row r="3981" ht="15" x14ac:dyDescent="0.25"/>
    <row r="3982" ht="15" x14ac:dyDescent="0.25"/>
    <row r="3983" ht="15" x14ac:dyDescent="0.25"/>
    <row r="3984" ht="15" x14ac:dyDescent="0.25"/>
    <row r="3985" ht="15" x14ac:dyDescent="0.25"/>
    <row r="3986" ht="15" x14ac:dyDescent="0.25"/>
    <row r="3987" ht="15" x14ac:dyDescent="0.25"/>
    <row r="3988" ht="15" x14ac:dyDescent="0.25"/>
    <row r="3989" ht="15" x14ac:dyDescent="0.25"/>
    <row r="3990" ht="15" x14ac:dyDescent="0.25"/>
    <row r="3992" ht="15" x14ac:dyDescent="0.25"/>
    <row r="3993" ht="15" customHeight="1" x14ac:dyDescent="0.25"/>
    <row r="3994" ht="15" x14ac:dyDescent="0.25"/>
    <row r="3995" ht="15" x14ac:dyDescent="0.25"/>
    <row r="3996" ht="15" x14ac:dyDescent="0.25"/>
    <row r="3997" ht="15" x14ac:dyDescent="0.25"/>
    <row r="3998" ht="15" customHeight="1" x14ac:dyDescent="0.25"/>
    <row r="3999" ht="15" x14ac:dyDescent="0.25"/>
    <row r="4000" ht="15" x14ac:dyDescent="0.25"/>
    <row r="4001" ht="15" x14ac:dyDescent="0.25"/>
    <row r="4002" ht="15" x14ac:dyDescent="0.25"/>
    <row r="4003" ht="15" x14ac:dyDescent="0.25"/>
    <row r="4004" ht="15" x14ac:dyDescent="0.25"/>
    <row r="4005" ht="15" x14ac:dyDescent="0.25"/>
    <row r="4006" ht="15" x14ac:dyDescent="0.25"/>
    <row r="4007" ht="15" x14ac:dyDescent="0.25"/>
    <row r="4008" ht="15" x14ac:dyDescent="0.25"/>
    <row r="4009" ht="15" x14ac:dyDescent="0.25"/>
    <row r="4010" ht="15" x14ac:dyDescent="0.25"/>
    <row r="4011" ht="15" x14ac:dyDescent="0.25"/>
    <row r="4012" ht="15" x14ac:dyDescent="0.25"/>
    <row r="4013" ht="15" x14ac:dyDescent="0.25"/>
    <row r="4014" ht="15" x14ac:dyDescent="0.25"/>
    <row r="4015" ht="15" x14ac:dyDescent="0.25"/>
    <row r="4016" ht="15" x14ac:dyDescent="0.25"/>
    <row r="4017" ht="15" x14ac:dyDescent="0.25"/>
    <row r="4018" ht="15" x14ac:dyDescent="0.25"/>
    <row r="4019" ht="15" x14ac:dyDescent="0.25"/>
    <row r="4020" ht="15" x14ac:dyDescent="0.25"/>
    <row r="4021" ht="15" x14ac:dyDescent="0.25"/>
    <row r="4022" ht="15" x14ac:dyDescent="0.25"/>
    <row r="4023" ht="15" x14ac:dyDescent="0.25"/>
    <row r="4024" ht="15" x14ac:dyDescent="0.25"/>
    <row r="4025" ht="15" x14ac:dyDescent="0.25"/>
    <row r="4026" ht="15" x14ac:dyDescent="0.25"/>
    <row r="4027" ht="15" x14ac:dyDescent="0.25"/>
    <row r="4028" ht="15" x14ac:dyDescent="0.25"/>
    <row r="4029" ht="15" x14ac:dyDescent="0.25"/>
    <row r="4030" ht="15" x14ac:dyDescent="0.25"/>
    <row r="4031" ht="15" x14ac:dyDescent="0.25"/>
    <row r="4032" ht="15" x14ac:dyDescent="0.25"/>
    <row r="4033" ht="15" x14ac:dyDescent="0.25"/>
    <row r="4034" ht="15" x14ac:dyDescent="0.25"/>
    <row r="4035" ht="15" x14ac:dyDescent="0.25"/>
    <row r="4036" ht="15" x14ac:dyDescent="0.25"/>
    <row r="4037" ht="15" x14ac:dyDescent="0.25"/>
  </sheetData>
  <mergeCells count="604">
    <mergeCell ref="A3818:B3818"/>
    <mergeCell ref="A369:B369"/>
    <mergeCell ref="A375:B375"/>
    <mergeCell ref="A382:B382"/>
    <mergeCell ref="A383:B383"/>
    <mergeCell ref="A3658:B3658"/>
    <mergeCell ref="B3669:F3669"/>
    <mergeCell ref="B3670:F3670"/>
    <mergeCell ref="A3674:B3674"/>
    <mergeCell ref="A3675:B3675"/>
    <mergeCell ref="A3676:B3676"/>
    <mergeCell ref="B3623:F3623"/>
    <mergeCell ref="A3627:B3627"/>
    <mergeCell ref="A3628:B3628"/>
    <mergeCell ref="A3639:B3639"/>
    <mergeCell ref="A3640:B3640"/>
    <mergeCell ref="A3649:B3649"/>
    <mergeCell ref="A3641:B3641"/>
    <mergeCell ref="A3642:B3642"/>
    <mergeCell ref="A3630:B3630"/>
    <mergeCell ref="A3631:B3631"/>
    <mergeCell ref="A3632:B3632"/>
    <mergeCell ref="A3633:B3633"/>
    <mergeCell ref="A3634:B3634"/>
    <mergeCell ref="B354:F354"/>
    <mergeCell ref="B355:F355"/>
    <mergeCell ref="A358:B358"/>
    <mergeCell ref="A359:B360"/>
    <mergeCell ref="A361:B361"/>
    <mergeCell ref="A362:B362"/>
    <mergeCell ref="A366:B366"/>
    <mergeCell ref="A367:B367"/>
    <mergeCell ref="A368:B368"/>
    <mergeCell ref="A3903:B3903"/>
    <mergeCell ref="A3913:B3913"/>
    <mergeCell ref="A3914:B3914"/>
    <mergeCell ref="A3923:B3923"/>
    <mergeCell ref="A3933:B3933"/>
    <mergeCell ref="A3916:B3916"/>
    <mergeCell ref="A3906:B3906"/>
    <mergeCell ref="A3907:B3907"/>
    <mergeCell ref="A3908:B3908"/>
    <mergeCell ref="A3915:B3915"/>
    <mergeCell ref="A3904:B3904"/>
    <mergeCell ref="A3905:B3905"/>
    <mergeCell ref="B3897:F3897"/>
    <mergeCell ref="B3898:F3898"/>
    <mergeCell ref="A3902:B3902"/>
    <mergeCell ref="A3819:B3819"/>
    <mergeCell ref="A3828:B3828"/>
    <mergeCell ref="A3838:B3838"/>
    <mergeCell ref="A3764:G3764"/>
    <mergeCell ref="B3765:F3765"/>
    <mergeCell ref="A3769:B3769"/>
    <mergeCell ref="A3770:B3770"/>
    <mergeCell ref="A3779:B3779"/>
    <mergeCell ref="A3792:B3792"/>
    <mergeCell ref="A3809:B3809"/>
    <mergeCell ref="A3810:B3810"/>
    <mergeCell ref="A3811:B3811"/>
    <mergeCell ref="A3812:B3812"/>
    <mergeCell ref="B3802:F3802"/>
    <mergeCell ref="A3807:B3807"/>
    <mergeCell ref="A3808:B3808"/>
    <mergeCell ref="B3801:F3801"/>
    <mergeCell ref="A3806:B3806"/>
    <mergeCell ref="A3777:B3777"/>
    <mergeCell ref="A3778:B3778"/>
    <mergeCell ref="A3875:B3875"/>
    <mergeCell ref="A3629:B3629"/>
    <mergeCell ref="A3594:B3594"/>
    <mergeCell ref="A3595:B3595"/>
    <mergeCell ref="A3596:B3596"/>
    <mergeCell ref="A3603:B3603"/>
    <mergeCell ref="A3613:B3613"/>
    <mergeCell ref="B3622:F3622"/>
    <mergeCell ref="A3593:B3593"/>
    <mergeCell ref="A3556:B3556"/>
    <mergeCell ref="A3565:B3565"/>
    <mergeCell ref="A3582:B3582"/>
    <mergeCell ref="A3583:B3583"/>
    <mergeCell ref="A3584:B3584"/>
    <mergeCell ref="A3585:B3585"/>
    <mergeCell ref="A3586:B3586"/>
    <mergeCell ref="A3587:B3587"/>
    <mergeCell ref="A3588:B3588"/>
    <mergeCell ref="A3535:B3535"/>
    <mergeCell ref="A3536:B3536"/>
    <mergeCell ref="A3537:B3537"/>
    <mergeCell ref="A3538:B3538"/>
    <mergeCell ref="A3539:B3539"/>
    <mergeCell ref="A3540:B3540"/>
    <mergeCell ref="A3541:B3541"/>
    <mergeCell ref="B3577:F3577"/>
    <mergeCell ref="B3578:F3578"/>
    <mergeCell ref="A3164:B3164"/>
    <mergeCell ref="A3165:B3165"/>
    <mergeCell ref="A3166:B3166"/>
    <mergeCell ref="A3167:B3167"/>
    <mergeCell ref="B3203:F3203"/>
    <mergeCell ref="B3204:F3204"/>
    <mergeCell ref="B3113:F3113"/>
    <mergeCell ref="B3114:F3114"/>
    <mergeCell ref="A3118:B3118"/>
    <mergeCell ref="A3119:B3119"/>
    <mergeCell ref="A3120:B3120"/>
    <mergeCell ref="A3121:B3121"/>
    <mergeCell ref="A3122:B3122"/>
    <mergeCell ref="B3158:F3158"/>
    <mergeCell ref="B3159:F3159"/>
    <mergeCell ref="A3163:B3163"/>
    <mergeCell ref="B3023:F3023"/>
    <mergeCell ref="A3039:B3039"/>
    <mergeCell ref="B3068:F3068"/>
    <mergeCell ref="B3069:F3069"/>
    <mergeCell ref="A3073:B3073"/>
    <mergeCell ref="B2932:F2932"/>
    <mergeCell ref="B2933:F2933"/>
    <mergeCell ref="A2949:B2949"/>
    <mergeCell ref="B2977:F2977"/>
    <mergeCell ref="B2978:F2978"/>
    <mergeCell ref="A2994:B2994"/>
    <mergeCell ref="A1856:B1856"/>
    <mergeCell ref="B1894:F1894"/>
    <mergeCell ref="B1895:F1895"/>
    <mergeCell ref="A1901:B1901"/>
    <mergeCell ref="B1939:F1939"/>
    <mergeCell ref="B1940:F1940"/>
    <mergeCell ref="B1759:F1759"/>
    <mergeCell ref="A1765:B1765"/>
    <mergeCell ref="B1804:F1804"/>
    <mergeCell ref="B1805:F1805"/>
    <mergeCell ref="A1811:B1811"/>
    <mergeCell ref="B1849:F1849"/>
    <mergeCell ref="B1850:F1850"/>
    <mergeCell ref="B1624:F1624"/>
    <mergeCell ref="B1668:F1668"/>
    <mergeCell ref="B1669:F1669"/>
    <mergeCell ref="B1713:F1713"/>
    <mergeCell ref="B1714:F1714"/>
    <mergeCell ref="B1758:F1758"/>
    <mergeCell ref="B1488:F1488"/>
    <mergeCell ref="B1532:F1532"/>
    <mergeCell ref="B1533:F1533"/>
    <mergeCell ref="B1577:F1577"/>
    <mergeCell ref="B1578:F1578"/>
    <mergeCell ref="B1623:F1623"/>
    <mergeCell ref="B1441:F1441"/>
    <mergeCell ref="B1442:F1442"/>
    <mergeCell ref="B1487:F1487"/>
    <mergeCell ref="A1267:B1267"/>
    <mergeCell ref="A1268:B1268"/>
    <mergeCell ref="A1269:B1269"/>
    <mergeCell ref="B1305:F1305"/>
    <mergeCell ref="B1306:F1306"/>
    <mergeCell ref="B1350:F1350"/>
    <mergeCell ref="B1351:F1351"/>
    <mergeCell ref="B1396:F1396"/>
    <mergeCell ref="B1397:F1397"/>
    <mergeCell ref="B1260:F1260"/>
    <mergeCell ref="B1261:F1261"/>
    <mergeCell ref="A1265:B1265"/>
    <mergeCell ref="A1266:B1266"/>
    <mergeCell ref="A1221:B1221"/>
    <mergeCell ref="A1222:B1222"/>
    <mergeCell ref="A1223:B1223"/>
    <mergeCell ref="A1224:B1224"/>
    <mergeCell ref="A3868:B3868"/>
    <mergeCell ref="B3849:F3849"/>
    <mergeCell ref="B3850:F3850"/>
    <mergeCell ref="A3860:B3860"/>
    <mergeCell ref="A3865:B3865"/>
    <mergeCell ref="A3866:B3866"/>
    <mergeCell ref="A3867:B3867"/>
    <mergeCell ref="A3784:B3784"/>
    <mergeCell ref="A3771:B3771"/>
    <mergeCell ref="A3772:B3772"/>
    <mergeCell ref="A3776:B3776"/>
    <mergeCell ref="A3698:B3698"/>
    <mergeCell ref="B3766:F3766"/>
    <mergeCell ref="A3724:B3724"/>
    <mergeCell ref="A3725:B3725"/>
    <mergeCell ref="A3726:B3726"/>
    <mergeCell ref="A3885:B3885"/>
    <mergeCell ref="A3854:B3854"/>
    <mergeCell ref="A3855:B3855"/>
    <mergeCell ref="A3856:B3856"/>
    <mergeCell ref="A3857:B3857"/>
    <mergeCell ref="A3858:B3858"/>
    <mergeCell ref="A3859:B3859"/>
    <mergeCell ref="A3820:B3820"/>
    <mergeCell ref="A3821:B3821"/>
    <mergeCell ref="A3746:B3746"/>
    <mergeCell ref="A3753:B3753"/>
    <mergeCell ref="A3754:B3754"/>
    <mergeCell ref="A3817:B3817"/>
    <mergeCell ref="A3696:B3696"/>
    <mergeCell ref="A3697:B3697"/>
    <mergeCell ref="A3705:B3705"/>
    <mergeCell ref="A3706:B3706"/>
    <mergeCell ref="A3680:B3680"/>
    <mergeCell ref="A3681:B3681"/>
    <mergeCell ref="A3688:B3688"/>
    <mergeCell ref="A3689:B3689"/>
    <mergeCell ref="A3686:B3686"/>
    <mergeCell ref="A3687:B3687"/>
    <mergeCell ref="A3727:B3727"/>
    <mergeCell ref="A3728:B3728"/>
    <mergeCell ref="A3729:B3729"/>
    <mergeCell ref="A3734:B3734"/>
    <mergeCell ref="A3735:B3735"/>
    <mergeCell ref="A3736:B3736"/>
    <mergeCell ref="A3737:B3737"/>
    <mergeCell ref="A3744:B3744"/>
    <mergeCell ref="A3745:B3745"/>
    <mergeCell ref="A3402:B3402"/>
    <mergeCell ref="A3403:B3403"/>
    <mergeCell ref="A3677:B3677"/>
    <mergeCell ref="A3678:B3678"/>
    <mergeCell ref="A3679:B3679"/>
    <mergeCell ref="A3502:B3502"/>
    <mergeCell ref="B3530:F3530"/>
    <mergeCell ref="B3531:F3531"/>
    <mergeCell ref="A3534:B3534"/>
    <mergeCell ref="B3434:F3434"/>
    <mergeCell ref="B3435:F3435"/>
    <mergeCell ref="A3440:B3440"/>
    <mergeCell ref="A3442:B3442"/>
    <mergeCell ref="A3443:B3443"/>
    <mergeCell ref="A3444:B3444"/>
    <mergeCell ref="A3445:B3445"/>
    <mergeCell ref="A3446:B3446"/>
    <mergeCell ref="A3447:B3447"/>
    <mergeCell ref="A3546:B3546"/>
    <mergeCell ref="A3547:B3547"/>
    <mergeCell ref="A3548:B3548"/>
    <mergeCell ref="A3549:B3549"/>
    <mergeCell ref="A3448:B3448"/>
    <mergeCell ref="A3441:B3441"/>
    <mergeCell ref="A3398:B3398"/>
    <mergeCell ref="A3399:B3399"/>
    <mergeCell ref="A3400:B3400"/>
    <mergeCell ref="A3401:B3401"/>
    <mergeCell ref="A3258:B3258"/>
    <mergeCell ref="A3255:B3255"/>
    <mergeCell ref="A3256:B3256"/>
    <mergeCell ref="A3257:B3257"/>
    <mergeCell ref="B3341:F3341"/>
    <mergeCell ref="B3342:F3342"/>
    <mergeCell ref="A3347:B3347"/>
    <mergeCell ref="A3348:B3348"/>
    <mergeCell ref="B3388:F3388"/>
    <mergeCell ref="B3389:F3389"/>
    <mergeCell ref="A3394:B3394"/>
    <mergeCell ref="A3395:B3395"/>
    <mergeCell ref="A3349:B3349"/>
    <mergeCell ref="A3354:B3354"/>
    <mergeCell ref="A3355:B3355"/>
    <mergeCell ref="A3356:B3356"/>
    <mergeCell ref="A3350:B3350"/>
    <mergeCell ref="A3351:B3351"/>
    <mergeCell ref="A3352:B3352"/>
    <mergeCell ref="A3353:B3353"/>
    <mergeCell ref="A2363:B2363"/>
    <mergeCell ref="B2391:F2391"/>
    <mergeCell ref="B2392:F2392"/>
    <mergeCell ref="A2408:B2408"/>
    <mergeCell ref="B2437:F2437"/>
    <mergeCell ref="B2438:F2438"/>
    <mergeCell ref="A2454:B2454"/>
    <mergeCell ref="B2662:F2662"/>
    <mergeCell ref="B2663:F2663"/>
    <mergeCell ref="B2572:F2572"/>
    <mergeCell ref="B2573:F2573"/>
    <mergeCell ref="A2589:B2589"/>
    <mergeCell ref="B2617:F2617"/>
    <mergeCell ref="B2618:F2618"/>
    <mergeCell ref="A2634:B2634"/>
    <mergeCell ref="A3254:B3254"/>
    <mergeCell ref="A3396:B3396"/>
    <mergeCell ref="A3397:B3397"/>
    <mergeCell ref="A2499:B2499"/>
    <mergeCell ref="B2527:F2527"/>
    <mergeCell ref="B2528:F2528"/>
    <mergeCell ref="A2544:B2544"/>
    <mergeCell ref="A2679:B2679"/>
    <mergeCell ref="B2707:F2707"/>
    <mergeCell ref="B2708:F2708"/>
    <mergeCell ref="A2724:B2724"/>
    <mergeCell ref="B2842:F2842"/>
    <mergeCell ref="B2843:F2843"/>
    <mergeCell ref="A2859:B2859"/>
    <mergeCell ref="B2887:F2887"/>
    <mergeCell ref="B2888:F2888"/>
    <mergeCell ref="A2904:B2904"/>
    <mergeCell ref="B2752:F2752"/>
    <mergeCell ref="B2753:F2753"/>
    <mergeCell ref="A2769:B2769"/>
    <mergeCell ref="B2797:F2797"/>
    <mergeCell ref="B2798:F2798"/>
    <mergeCell ref="A2814:B2814"/>
    <mergeCell ref="B3022:F3022"/>
    <mergeCell ref="B1033:F1033"/>
    <mergeCell ref="B1034:F1034"/>
    <mergeCell ref="B1078:F1078"/>
    <mergeCell ref="B1079:F1079"/>
    <mergeCell ref="B1170:F1170"/>
    <mergeCell ref="B1171:F1171"/>
    <mergeCell ref="A1175:B1175"/>
    <mergeCell ref="A1176:B1176"/>
    <mergeCell ref="A1177:B1177"/>
    <mergeCell ref="B1124:F1124"/>
    <mergeCell ref="B1125:F1125"/>
    <mergeCell ref="B898:F898"/>
    <mergeCell ref="B942:F942"/>
    <mergeCell ref="B943:F943"/>
    <mergeCell ref="A771:B771"/>
    <mergeCell ref="B807:F807"/>
    <mergeCell ref="A811:B811"/>
    <mergeCell ref="A812:B812"/>
    <mergeCell ref="B988:F988"/>
    <mergeCell ref="B989:F989"/>
    <mergeCell ref="A726:B726"/>
    <mergeCell ref="A727:B727"/>
    <mergeCell ref="A770:B770"/>
    <mergeCell ref="A813:B813"/>
    <mergeCell ref="A814:B814"/>
    <mergeCell ref="A815:B815"/>
    <mergeCell ref="B851:F851"/>
    <mergeCell ref="B852:F852"/>
    <mergeCell ref="B897:F897"/>
    <mergeCell ref="B762:F762"/>
    <mergeCell ref="B763:F763"/>
    <mergeCell ref="A767:B767"/>
    <mergeCell ref="A768:B768"/>
    <mergeCell ref="A769:B769"/>
    <mergeCell ref="B806:F806"/>
    <mergeCell ref="A682:B682"/>
    <mergeCell ref="A683:B683"/>
    <mergeCell ref="B719:F719"/>
    <mergeCell ref="B720:F720"/>
    <mergeCell ref="A724:B724"/>
    <mergeCell ref="A725:B725"/>
    <mergeCell ref="A673:G673"/>
    <mergeCell ref="B674:F674"/>
    <mergeCell ref="B675:F675"/>
    <mergeCell ref="A679:B679"/>
    <mergeCell ref="A680:B680"/>
    <mergeCell ref="A681:B681"/>
    <mergeCell ref="B630:F630"/>
    <mergeCell ref="A634:B634"/>
    <mergeCell ref="A635:B635"/>
    <mergeCell ref="A636:B636"/>
    <mergeCell ref="A637:B637"/>
    <mergeCell ref="A638:B638"/>
    <mergeCell ref="A611:B611"/>
    <mergeCell ref="A612:B612"/>
    <mergeCell ref="A617:B617"/>
    <mergeCell ref="A623:B623"/>
    <mergeCell ref="A624:B624"/>
    <mergeCell ref="B629:F629"/>
    <mergeCell ref="A602:B602"/>
    <mergeCell ref="A603:B603"/>
    <mergeCell ref="A604:B604"/>
    <mergeCell ref="A605:B605"/>
    <mergeCell ref="A609:B609"/>
    <mergeCell ref="A610:B610"/>
    <mergeCell ref="A588:B588"/>
    <mergeCell ref="B595:F595"/>
    <mergeCell ref="B596:F596"/>
    <mergeCell ref="A599:B599"/>
    <mergeCell ref="A600:B600"/>
    <mergeCell ref="A601:B601"/>
    <mergeCell ref="A567:B567"/>
    <mergeCell ref="A572:B572"/>
    <mergeCell ref="A573:B573"/>
    <mergeCell ref="A574:B574"/>
    <mergeCell ref="A575:B575"/>
    <mergeCell ref="A581:B581"/>
    <mergeCell ref="A554:B554"/>
    <mergeCell ref="A560:G560"/>
    <mergeCell ref="B561:F561"/>
    <mergeCell ref="B562:F562"/>
    <mergeCell ref="A565:B565"/>
    <mergeCell ref="A566:B566"/>
    <mergeCell ref="A568:B568"/>
    <mergeCell ref="A534:B534"/>
    <mergeCell ref="A538:B538"/>
    <mergeCell ref="A539:B539"/>
    <mergeCell ref="A540:B540"/>
    <mergeCell ref="A541:B541"/>
    <mergeCell ref="A547:B547"/>
    <mergeCell ref="A514:B514"/>
    <mergeCell ref="A521:B521"/>
    <mergeCell ref="B528:F528"/>
    <mergeCell ref="B529:F529"/>
    <mergeCell ref="A532:B532"/>
    <mergeCell ref="A533:B533"/>
    <mergeCell ref="A500:B500"/>
    <mergeCell ref="A501:B501"/>
    <mergeCell ref="A505:B505"/>
    <mergeCell ref="A506:B506"/>
    <mergeCell ref="A507:B507"/>
    <mergeCell ref="A508:B508"/>
    <mergeCell ref="A478:B478"/>
    <mergeCell ref="A486:B486"/>
    <mergeCell ref="B494:F494"/>
    <mergeCell ref="B495:F495"/>
    <mergeCell ref="A498:B498"/>
    <mergeCell ref="A499:B499"/>
    <mergeCell ref="A464:B464"/>
    <mergeCell ref="A465:B465"/>
    <mergeCell ref="A466:B466"/>
    <mergeCell ref="A470:B470"/>
    <mergeCell ref="A471:B471"/>
    <mergeCell ref="A472:B472"/>
    <mergeCell ref="A444:B444"/>
    <mergeCell ref="A451:B451"/>
    <mergeCell ref="A452:B452"/>
    <mergeCell ref="B459:F459"/>
    <mergeCell ref="B460:F460"/>
    <mergeCell ref="A463:B463"/>
    <mergeCell ref="A431:B431"/>
    <mergeCell ref="A432:B432"/>
    <mergeCell ref="A436:B436"/>
    <mergeCell ref="A437:B437"/>
    <mergeCell ref="A438:B438"/>
    <mergeCell ref="A439:B439"/>
    <mergeCell ref="A418:B418"/>
    <mergeCell ref="A419:B419"/>
    <mergeCell ref="B425:F425"/>
    <mergeCell ref="B426:F426"/>
    <mergeCell ref="A429:B429"/>
    <mergeCell ref="A430:B430"/>
    <mergeCell ref="A398:B398"/>
    <mergeCell ref="A402:B402"/>
    <mergeCell ref="A403:B403"/>
    <mergeCell ref="A404:B404"/>
    <mergeCell ref="A405:B405"/>
    <mergeCell ref="A411:B411"/>
    <mergeCell ref="B390:F390"/>
    <mergeCell ref="B391:F391"/>
    <mergeCell ref="A394:B394"/>
    <mergeCell ref="A395:B395"/>
    <mergeCell ref="A396:B396"/>
    <mergeCell ref="A397:B397"/>
    <mergeCell ref="A331:B331"/>
    <mergeCell ref="A332:B332"/>
    <mergeCell ref="A333:B333"/>
    <mergeCell ref="A339:B339"/>
    <mergeCell ref="A346:B346"/>
    <mergeCell ref="A347:B347"/>
    <mergeCell ref="A322:B322"/>
    <mergeCell ref="A323:B323"/>
    <mergeCell ref="A324:B324"/>
    <mergeCell ref="A325:B325"/>
    <mergeCell ref="A326:B326"/>
    <mergeCell ref="A330:B330"/>
    <mergeCell ref="A297:B297"/>
    <mergeCell ref="A303:B303"/>
    <mergeCell ref="A310:B310"/>
    <mergeCell ref="A311:B311"/>
    <mergeCell ref="B318:F318"/>
    <mergeCell ref="B319:F319"/>
    <mergeCell ref="A288:B288"/>
    <mergeCell ref="A289:B289"/>
    <mergeCell ref="A290:B290"/>
    <mergeCell ref="A294:B294"/>
    <mergeCell ref="A295:B295"/>
    <mergeCell ref="A296:B296"/>
    <mergeCell ref="A263:B263"/>
    <mergeCell ref="A269:B269"/>
    <mergeCell ref="A276:B276"/>
    <mergeCell ref="B283:F283"/>
    <mergeCell ref="B284:F284"/>
    <mergeCell ref="A287:B287"/>
    <mergeCell ref="A254:B254"/>
    <mergeCell ref="A255:B255"/>
    <mergeCell ref="A256:B256"/>
    <mergeCell ref="A260:B260"/>
    <mergeCell ref="A261:B261"/>
    <mergeCell ref="A262:B262"/>
    <mergeCell ref="A229:B229"/>
    <mergeCell ref="A235:B235"/>
    <mergeCell ref="A242:B242"/>
    <mergeCell ref="B249:F249"/>
    <mergeCell ref="B250:F250"/>
    <mergeCell ref="A253:B253"/>
    <mergeCell ref="A220:B220"/>
    <mergeCell ref="A221:B221"/>
    <mergeCell ref="A222:B222"/>
    <mergeCell ref="A226:B226"/>
    <mergeCell ref="A227:B227"/>
    <mergeCell ref="A228:B228"/>
    <mergeCell ref="A161:B161"/>
    <mergeCell ref="A166:B166"/>
    <mergeCell ref="A173:B173"/>
    <mergeCell ref="B215:F215"/>
    <mergeCell ref="B216:F216"/>
    <mergeCell ref="A219:B219"/>
    <mergeCell ref="A152:B152"/>
    <mergeCell ref="A153:B153"/>
    <mergeCell ref="A154:B154"/>
    <mergeCell ref="A158:B158"/>
    <mergeCell ref="A159:B159"/>
    <mergeCell ref="A160:B160"/>
    <mergeCell ref="B181:F181"/>
    <mergeCell ref="B182:F182"/>
    <mergeCell ref="A185:B185"/>
    <mergeCell ref="A186:B186"/>
    <mergeCell ref="A187:B187"/>
    <mergeCell ref="A188:B188"/>
    <mergeCell ref="A192:B192"/>
    <mergeCell ref="A193:B193"/>
    <mergeCell ref="A194:B194"/>
    <mergeCell ref="A195:B195"/>
    <mergeCell ref="A201:B201"/>
    <mergeCell ref="A208:B208"/>
    <mergeCell ref="A124:B124"/>
    <mergeCell ref="A130:B130"/>
    <mergeCell ref="A138:B138"/>
    <mergeCell ref="B147:F147"/>
    <mergeCell ref="B148:F148"/>
    <mergeCell ref="A151:B151"/>
    <mergeCell ref="A115:B115"/>
    <mergeCell ref="A116:B116"/>
    <mergeCell ref="A117:B117"/>
    <mergeCell ref="A118:B118"/>
    <mergeCell ref="A119:B119"/>
    <mergeCell ref="A123:B123"/>
    <mergeCell ref="A89:B89"/>
    <mergeCell ref="A90:B90"/>
    <mergeCell ref="A96:B96"/>
    <mergeCell ref="A103:B103"/>
    <mergeCell ref="B111:F111"/>
    <mergeCell ref="B112:F112"/>
    <mergeCell ref="B78:F78"/>
    <mergeCell ref="A81:B81"/>
    <mergeCell ref="A82:B82"/>
    <mergeCell ref="A83:B83"/>
    <mergeCell ref="A84:B84"/>
    <mergeCell ref="A85:B85"/>
    <mergeCell ref="A21:B21"/>
    <mergeCell ref="B43:F43"/>
    <mergeCell ref="A54:B54"/>
    <mergeCell ref="A55:B55"/>
    <mergeCell ref="A56:B56"/>
    <mergeCell ref="B77:F77"/>
    <mergeCell ref="A2:G2"/>
    <mergeCell ref="A3:G3"/>
    <mergeCell ref="A5:G5"/>
    <mergeCell ref="B8:F8"/>
    <mergeCell ref="A19:B19"/>
    <mergeCell ref="A20:B20"/>
    <mergeCell ref="A22:B22"/>
    <mergeCell ref="A57:B57"/>
    <mergeCell ref="B1215:F1215"/>
    <mergeCell ref="B1216:F1216"/>
    <mergeCell ref="A1220:B1220"/>
    <mergeCell ref="A1178:B1178"/>
    <mergeCell ref="A1179:B1179"/>
    <mergeCell ref="A3074:B3074"/>
    <mergeCell ref="A3075:B3075"/>
    <mergeCell ref="B2346:F2346"/>
    <mergeCell ref="B2074:F2074"/>
    <mergeCell ref="B2075:F2075"/>
    <mergeCell ref="B2119:F2119"/>
    <mergeCell ref="B2120:F2120"/>
    <mergeCell ref="B2164:F2164"/>
    <mergeCell ref="B2165:F2165"/>
    <mergeCell ref="B1984:F1984"/>
    <mergeCell ref="B1985:F1985"/>
    <mergeCell ref="B2029:F2029"/>
    <mergeCell ref="B2030:F2030"/>
    <mergeCell ref="B2209:F2209"/>
    <mergeCell ref="B2210:F2210"/>
    <mergeCell ref="B2256:F2256"/>
    <mergeCell ref="B2257:F2257"/>
    <mergeCell ref="B2301:F2301"/>
    <mergeCell ref="B2347:F2347"/>
    <mergeCell ref="A2759:B2759"/>
    <mergeCell ref="A3303:B3303"/>
    <mergeCell ref="A2444:B2444"/>
    <mergeCell ref="B3717:F3717"/>
    <mergeCell ref="B3718:F3718"/>
    <mergeCell ref="A3722:B3722"/>
    <mergeCell ref="A3723:B3723"/>
    <mergeCell ref="A3076:B3076"/>
    <mergeCell ref="A3077:B3077"/>
    <mergeCell ref="B2482:F2482"/>
    <mergeCell ref="B2483:F2483"/>
    <mergeCell ref="A3208:B3208"/>
    <mergeCell ref="A3209:B3209"/>
    <mergeCell ref="B3295:F3295"/>
    <mergeCell ref="B3296:F3296"/>
    <mergeCell ref="A3301:B3301"/>
    <mergeCell ref="A3302:B3302"/>
    <mergeCell ref="B3485:F3485"/>
    <mergeCell ref="B3486:F3486"/>
    <mergeCell ref="A3210:B3210"/>
    <mergeCell ref="A3211:B3211"/>
    <mergeCell ref="A3212:B3212"/>
    <mergeCell ref="B3249:F3249"/>
    <mergeCell ref="B3250:F3250"/>
  </mergeCells>
  <pageMargins left="0.70866141732283472" right="0.70866141732283472" top="0.74803149606299213" bottom="0.74803149606299213" header="0.31496062992125984" footer="0.31496062992125984"/>
  <pageSetup scale="73" fitToHeight="0" orientation="portrait" r:id="rId1"/>
  <rowBreaks count="90" manualBreakCount="90">
    <brk id="40" max="6" man="1"/>
    <brk id="75" max="6" man="1"/>
    <brk id="109" max="6" man="1"/>
    <brk id="145" max="6" man="1"/>
    <brk id="179" max="6" man="1"/>
    <brk id="213" max="6" man="1"/>
    <brk id="248" max="6" man="1"/>
    <brk id="282" max="6" man="1"/>
    <brk id="316" max="6" man="1"/>
    <brk id="353" max="6" man="1"/>
    <brk id="388" max="6" man="1"/>
    <brk id="423" max="6" man="1"/>
    <brk id="458" max="6" man="1"/>
    <brk id="493" max="6" man="1"/>
    <brk id="527" max="6" man="1"/>
    <brk id="560" max="6" man="1"/>
    <brk id="594" max="6" man="1"/>
    <brk id="628" max="6" man="1"/>
    <brk id="673" max="6" man="1"/>
    <brk id="717" max="6" man="1"/>
    <brk id="760" max="6" man="1"/>
    <brk id="804" max="6" man="1"/>
    <brk id="848" max="6" man="1"/>
    <brk id="894" max="6" man="1"/>
    <brk id="940" max="6" man="1"/>
    <brk id="986" max="6" man="1"/>
    <brk id="1031" max="6" man="1"/>
    <brk id="1076" max="6" man="1"/>
    <brk id="1122" max="6" man="1"/>
    <brk id="1168" max="6" man="1"/>
    <brk id="1213" max="6" man="1"/>
    <brk id="1258" max="6" man="1"/>
    <brk id="1303" max="6" man="1"/>
    <brk id="1348" max="6" man="1"/>
    <brk id="1393" max="6" man="1"/>
    <brk id="1439" max="6" man="1"/>
    <brk id="1485" max="6" man="1"/>
    <brk id="1530" max="6" man="1"/>
    <brk id="1575" max="6" man="1"/>
    <brk id="1621" max="6" man="1"/>
    <brk id="1666" max="6" man="1"/>
    <brk id="1711" max="6" man="1"/>
    <brk id="1756" max="6" man="1"/>
    <brk id="1802" max="6" man="1"/>
    <brk id="1847" max="6" man="1"/>
    <brk id="1892" max="6" man="1"/>
    <brk id="1937" max="6" man="1"/>
    <brk id="1982" max="6" man="1"/>
    <brk id="2027" max="6" man="1"/>
    <brk id="2072" max="6" man="1"/>
    <brk id="2117" max="6" man="1"/>
    <brk id="2162" max="6" man="1"/>
    <brk id="2207" max="6" man="1"/>
    <brk id="2253" max="6" man="1"/>
    <brk id="2299" max="6" man="1"/>
    <brk id="2344" max="6" man="1"/>
    <brk id="2389" max="6" man="1"/>
    <brk id="2435" max="6" man="1"/>
    <brk id="2480" max="6" man="1"/>
    <brk id="2525" max="6" man="1"/>
    <brk id="2570" max="6" man="1"/>
    <brk id="2616" max="6" man="1"/>
    <brk id="2660" max="6" man="1"/>
    <brk id="2705" max="6" man="1"/>
    <brk id="2751" max="6" man="1"/>
    <brk id="2795" max="6" man="1"/>
    <brk id="2840" max="6" man="1"/>
    <brk id="2885" max="6" man="1"/>
    <brk id="2930" max="6" man="1"/>
    <brk id="2975" max="6" man="1"/>
    <brk id="3020" max="6" man="1"/>
    <brk id="3066" max="6" man="1"/>
    <brk id="3111" max="6" man="1"/>
    <brk id="3156" max="6" man="1"/>
    <brk id="3201" max="6" man="1"/>
    <brk id="3246" max="6" man="1"/>
    <brk id="3293" max="6" man="1"/>
    <brk id="3340" max="6" man="1"/>
    <brk id="3387" max="6" man="1"/>
    <brk id="3432" max="6" man="1"/>
    <brk id="3483" max="6" man="1"/>
    <brk id="3529" max="6" man="1"/>
    <brk id="3575" max="6" man="1"/>
    <brk id="3620" max="6" man="1"/>
    <brk id="3667" max="6" man="1"/>
    <brk id="3714" max="6" man="1"/>
    <brk id="3763" max="6" man="1"/>
    <brk id="3798" max="6" man="1"/>
    <brk id="3847" max="6" man="1"/>
    <brk id="389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4"/>
  <sheetViews>
    <sheetView view="pageBreakPreview" topLeftCell="A43" zoomScale="60" zoomScaleNormal="60" workbookViewId="0">
      <selection activeCell="G70" sqref="G70"/>
    </sheetView>
  </sheetViews>
  <sheetFormatPr baseColWidth="10" defaultColWidth="11.42578125" defaultRowHeight="14.25" x14ac:dyDescent="0.2"/>
  <cols>
    <col min="1" max="1" width="19.42578125" style="572" customWidth="1"/>
    <col min="2" max="2" width="6.28515625" style="576" customWidth="1"/>
    <col min="3" max="3" width="103.5703125" style="572" customWidth="1"/>
    <col min="4" max="4" width="10.42578125" style="572" customWidth="1"/>
    <col min="5" max="5" width="13.42578125" style="572" bestFit="1" customWidth="1"/>
    <col min="6" max="6" width="5.7109375" style="594" customWidth="1"/>
    <col min="7" max="41" width="5" style="572" customWidth="1"/>
    <col min="42" max="49" width="5" style="572" hidden="1" customWidth="1"/>
    <col min="50" max="50" width="15.7109375" style="572" bestFit="1" customWidth="1"/>
    <col min="51" max="16384" width="11.42578125" style="572"/>
  </cols>
  <sheetData>
    <row r="1" spans="1:52" ht="24" customHeight="1" x14ac:dyDescent="0.2">
      <c r="C1" s="565"/>
      <c r="D1" s="1394"/>
      <c r="E1" s="1394"/>
      <c r="F1" s="1394"/>
      <c r="G1" s="1394"/>
      <c r="H1" s="1394"/>
      <c r="I1" s="1394"/>
      <c r="J1" s="1394"/>
      <c r="K1" s="1394"/>
      <c r="L1" s="1394"/>
      <c r="M1" s="1394"/>
      <c r="N1" s="1394"/>
      <c r="O1" s="1394"/>
      <c r="P1" s="577"/>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c r="AW1" s="565"/>
    </row>
    <row r="2" spans="1:52" ht="24" customHeight="1" x14ac:dyDescent="0.2">
      <c r="C2" s="565"/>
      <c r="D2" s="1394"/>
      <c r="E2" s="1394"/>
      <c r="F2" s="1394"/>
      <c r="G2" s="1394"/>
      <c r="H2" s="1394"/>
      <c r="I2" s="1394"/>
      <c r="J2" s="1394"/>
      <c r="K2" s="1394"/>
      <c r="L2" s="1394"/>
      <c r="M2" s="1394"/>
      <c r="N2" s="1394"/>
      <c r="O2" s="1394"/>
      <c r="P2" s="577"/>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5"/>
      <c r="AW2" s="565"/>
    </row>
    <row r="3" spans="1:52" ht="24" customHeight="1" x14ac:dyDescent="0.25">
      <c r="B3" s="577"/>
      <c r="C3" s="1395" t="s">
        <v>371</v>
      </c>
      <c r="D3" s="1395"/>
      <c r="E3" s="1395"/>
      <c r="F3" s="1395"/>
      <c r="G3" s="1395"/>
      <c r="H3" s="1395"/>
      <c r="I3" s="1395"/>
      <c r="J3" s="1395"/>
      <c r="K3" s="1395"/>
      <c r="L3" s="1395"/>
      <c r="M3" s="1395"/>
      <c r="N3" s="1395"/>
      <c r="O3" s="1395"/>
      <c r="P3" s="1395"/>
      <c r="Q3" s="1395"/>
      <c r="R3" s="1395"/>
      <c r="S3" s="1395"/>
      <c r="T3" s="1395"/>
      <c r="U3" s="1395"/>
      <c r="V3" s="1395"/>
      <c r="W3" s="1395"/>
      <c r="X3" s="1395"/>
      <c r="Y3" s="1395"/>
      <c r="Z3" s="1395"/>
      <c r="AA3" s="1395"/>
      <c r="AB3" s="1395"/>
      <c r="AC3" s="1395"/>
      <c r="AD3" s="1395"/>
      <c r="AE3" s="1395"/>
      <c r="AF3" s="1395"/>
      <c r="AG3" s="1395"/>
      <c r="AH3" s="1395"/>
      <c r="AI3" s="1395"/>
      <c r="AJ3" s="1395"/>
      <c r="AK3" s="1395"/>
      <c r="AL3" s="577"/>
      <c r="AM3" s="577"/>
      <c r="AN3" s="577"/>
      <c r="AO3" s="577"/>
      <c r="AP3" s="577"/>
      <c r="AQ3" s="577"/>
      <c r="AR3" s="577"/>
      <c r="AS3" s="577"/>
      <c r="AT3" s="577"/>
      <c r="AU3" s="577"/>
      <c r="AV3" s="577"/>
      <c r="AW3" s="577"/>
    </row>
    <row r="4" spans="1:52" ht="24" customHeight="1" x14ac:dyDescent="0.2">
      <c r="C4" s="565"/>
      <c r="D4" s="1394"/>
      <c r="E4" s="1394"/>
      <c r="F4" s="1394"/>
      <c r="G4" s="1394"/>
      <c r="H4" s="1394"/>
      <c r="I4" s="1394"/>
      <c r="J4" s="1394"/>
      <c r="K4" s="1394"/>
      <c r="L4" s="1394"/>
      <c r="M4" s="1394"/>
      <c r="N4" s="1394"/>
      <c r="O4" s="1394"/>
      <c r="P4" s="577"/>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565"/>
      <c r="AQ4" s="565"/>
      <c r="AR4" s="565"/>
      <c r="AS4" s="565"/>
      <c r="AT4" s="565"/>
      <c r="AU4" s="565"/>
      <c r="AV4" s="565"/>
      <c r="AW4" s="565"/>
    </row>
    <row r="5" spans="1:52" ht="14.25" customHeight="1" thickBot="1" x14ac:dyDescent="0.25">
      <c r="B5" s="577"/>
      <c r="C5" s="565"/>
      <c r="D5" s="565"/>
      <c r="E5" s="565"/>
      <c r="F5" s="577"/>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row>
    <row r="6" spans="1:52" ht="39.75" customHeight="1" x14ac:dyDescent="0.2">
      <c r="A6" s="1388" t="s">
        <v>339</v>
      </c>
      <c r="B6" s="1390" t="s">
        <v>6</v>
      </c>
      <c r="C6" s="1392" t="s">
        <v>161</v>
      </c>
      <c r="D6" s="1392" t="s">
        <v>340</v>
      </c>
      <c r="E6" s="1390" t="s">
        <v>341</v>
      </c>
      <c r="F6" s="1396" t="s">
        <v>369</v>
      </c>
      <c r="G6" s="1397"/>
      <c r="H6" s="1397"/>
      <c r="I6" s="1397"/>
      <c r="J6" s="1397"/>
      <c r="K6" s="1397"/>
      <c r="L6" s="1397"/>
      <c r="M6" s="1397"/>
      <c r="N6" s="1397"/>
      <c r="O6" s="1397"/>
      <c r="P6" s="1397"/>
      <c r="Q6" s="1397"/>
      <c r="R6" s="1397"/>
      <c r="S6" s="1397"/>
      <c r="T6" s="1397"/>
      <c r="U6" s="1397"/>
      <c r="V6" s="1397"/>
      <c r="W6" s="1397"/>
      <c r="X6" s="1397"/>
      <c r="Y6" s="1397"/>
      <c r="Z6" s="1397"/>
      <c r="AA6" s="1397"/>
      <c r="AB6" s="1397"/>
      <c r="AC6" s="1397"/>
      <c r="AD6" s="1397"/>
      <c r="AE6" s="1397"/>
      <c r="AF6" s="1397"/>
      <c r="AG6" s="1397"/>
      <c r="AH6" s="1397"/>
      <c r="AI6" s="1397"/>
      <c r="AJ6" s="1397"/>
      <c r="AK6" s="1397"/>
      <c r="AL6" s="1397"/>
      <c r="AM6" s="1397"/>
      <c r="AN6" s="1397"/>
      <c r="AO6" s="1397"/>
      <c r="AP6" s="1397"/>
      <c r="AQ6" s="578"/>
      <c r="AR6" s="578"/>
      <c r="AS6" s="578"/>
      <c r="AT6" s="578"/>
      <c r="AU6" s="578"/>
      <c r="AV6" s="578"/>
      <c r="AW6" s="578"/>
    </row>
    <row r="7" spans="1:52" ht="55.7" customHeight="1" x14ac:dyDescent="0.2">
      <c r="A7" s="1389"/>
      <c r="B7" s="1391"/>
      <c r="C7" s="1393"/>
      <c r="D7" s="1393"/>
      <c r="E7" s="1391"/>
      <c r="F7" s="579" t="s">
        <v>370</v>
      </c>
      <c r="G7" s="579">
        <v>1</v>
      </c>
      <c r="H7" s="579">
        <v>2</v>
      </c>
      <c r="I7" s="579">
        <v>3</v>
      </c>
      <c r="J7" s="579">
        <v>4</v>
      </c>
      <c r="K7" s="579">
        <v>5</v>
      </c>
      <c r="L7" s="579">
        <v>6</v>
      </c>
      <c r="M7" s="579">
        <v>7</v>
      </c>
      <c r="N7" s="579">
        <v>8</v>
      </c>
      <c r="O7" s="579">
        <v>9</v>
      </c>
      <c r="P7" s="579">
        <v>10</v>
      </c>
      <c r="Q7" s="579">
        <v>11</v>
      </c>
      <c r="R7" s="579">
        <v>12</v>
      </c>
      <c r="S7" s="579">
        <v>13</v>
      </c>
      <c r="T7" s="579">
        <v>14</v>
      </c>
      <c r="U7" s="579">
        <v>15</v>
      </c>
      <c r="V7" s="579">
        <v>16</v>
      </c>
      <c r="W7" s="579">
        <v>17</v>
      </c>
      <c r="X7" s="579">
        <v>18</v>
      </c>
      <c r="Y7" s="579">
        <v>19</v>
      </c>
      <c r="Z7" s="579">
        <v>20</v>
      </c>
      <c r="AA7" s="579">
        <v>21</v>
      </c>
      <c r="AB7" s="579">
        <v>22</v>
      </c>
      <c r="AC7" s="579">
        <v>23</v>
      </c>
      <c r="AD7" s="579">
        <v>24</v>
      </c>
      <c r="AE7" s="579">
        <v>25</v>
      </c>
      <c r="AF7" s="579">
        <v>26</v>
      </c>
      <c r="AG7" s="579">
        <v>27</v>
      </c>
      <c r="AH7" s="579">
        <v>28</v>
      </c>
      <c r="AI7" s="579">
        <v>29</v>
      </c>
      <c r="AJ7" s="579">
        <v>30</v>
      </c>
      <c r="AK7" s="579">
        <v>31</v>
      </c>
      <c r="AL7" s="579">
        <v>32</v>
      </c>
      <c r="AM7" s="579">
        <v>33</v>
      </c>
      <c r="AN7" s="579">
        <v>34</v>
      </c>
      <c r="AO7" s="579">
        <v>35</v>
      </c>
      <c r="AP7" s="579">
        <v>21</v>
      </c>
      <c r="AQ7" s="579">
        <v>22</v>
      </c>
      <c r="AR7" s="579">
        <v>23</v>
      </c>
      <c r="AS7" s="579">
        <v>24</v>
      </c>
      <c r="AT7" s="579">
        <v>25</v>
      </c>
      <c r="AU7" s="579">
        <v>26</v>
      </c>
      <c r="AV7" s="579">
        <v>27</v>
      </c>
      <c r="AW7" s="579">
        <v>28</v>
      </c>
    </row>
    <row r="8" spans="1:52" ht="15" customHeight="1" x14ac:dyDescent="0.25">
      <c r="A8" s="580"/>
      <c r="B8" s="560">
        <f>+'[1]5. Presup Sector N°4'!B8</f>
        <v>1</v>
      </c>
      <c r="C8" s="596" t="str">
        <f>+'[1]5. Presup Sector N°4'!C8</f>
        <v>DEMOLICIÓN</v>
      </c>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9"/>
      <c r="AL8" s="580"/>
      <c r="AM8" s="580"/>
      <c r="AN8" s="580"/>
      <c r="AO8" s="580"/>
      <c r="AP8" s="580"/>
      <c r="AQ8" s="580"/>
      <c r="AR8" s="580"/>
      <c r="AS8" s="580"/>
      <c r="AT8" s="580"/>
      <c r="AU8" s="580"/>
      <c r="AV8" s="580"/>
      <c r="AW8" s="580"/>
    </row>
    <row r="9" spans="1:52" ht="15" customHeight="1" x14ac:dyDescent="0.2">
      <c r="A9" s="581"/>
      <c r="B9" s="601">
        <f>'FORMATO PROPUESTA ECONÓMICA'!A8</f>
        <v>1.1000000000000001</v>
      </c>
      <c r="C9" s="602" t="str">
        <f>'FORMATO PROPUESTA ECONÓMICA'!B8</f>
        <v>Demolición Andenes sin escalas, en cualquier material (simples o reforzado), espesor entre 7 y 10 cm</v>
      </c>
      <c r="D9" s="601" t="str">
        <f>'FORMATO PROPUESTA ECONÓMICA'!C8</f>
        <v>m2</v>
      </c>
      <c r="E9" s="601">
        <f>'FORMATO PROPUESTA ECONÓMICA'!D8</f>
        <v>7446.8</v>
      </c>
      <c r="F9" s="584"/>
      <c r="G9" s="584"/>
      <c r="H9" s="584"/>
      <c r="I9" s="583"/>
      <c r="J9" s="583"/>
      <c r="K9" s="583"/>
      <c r="L9" s="583"/>
      <c r="M9" s="583"/>
      <c r="N9" s="583"/>
      <c r="O9" s="583"/>
      <c r="P9" s="583"/>
      <c r="Q9" s="583"/>
      <c r="R9" s="583"/>
      <c r="S9" s="583"/>
      <c r="T9" s="583"/>
      <c r="U9" s="583"/>
      <c r="V9" s="583"/>
      <c r="W9" s="583"/>
      <c r="X9" s="583"/>
      <c r="Y9" s="583"/>
      <c r="Z9" s="583"/>
      <c r="AA9" s="583"/>
      <c r="AB9" s="583"/>
      <c r="AC9" s="583"/>
      <c r="AD9" s="583"/>
      <c r="AE9" s="584"/>
      <c r="AF9" s="584"/>
      <c r="AG9" s="584"/>
      <c r="AH9" s="584"/>
      <c r="AI9" s="584"/>
      <c r="AJ9" s="584"/>
      <c r="AK9" s="584"/>
      <c r="AL9" s="584"/>
      <c r="AM9" s="584"/>
      <c r="AN9" s="584"/>
      <c r="AO9" s="584"/>
      <c r="AP9" s="584"/>
      <c r="AQ9" s="584"/>
      <c r="AR9" s="584"/>
      <c r="AS9" s="584"/>
      <c r="AT9" s="584"/>
      <c r="AU9" s="584"/>
      <c r="AV9" s="584"/>
      <c r="AW9" s="584"/>
    </row>
    <row r="10" spans="1:52" ht="15" customHeight="1" x14ac:dyDescent="0.2">
      <c r="A10" s="153"/>
      <c r="B10" s="601">
        <f>'FORMATO PROPUESTA ECONÓMICA'!A9</f>
        <v>1.2</v>
      </c>
      <c r="C10" s="602" t="str">
        <f>'FORMATO PROPUESTA ECONÓMICA'!B9</f>
        <v>Demolición piso baldosa o grano</v>
      </c>
      <c r="D10" s="601" t="str">
        <f>'FORMATO PROPUESTA ECONÓMICA'!C9</f>
        <v>m2</v>
      </c>
      <c r="E10" s="601">
        <f>'FORMATO PROPUESTA ECONÓMICA'!D9</f>
        <v>1688.1</v>
      </c>
      <c r="F10" s="298"/>
      <c r="G10" s="583"/>
      <c r="H10" s="583"/>
      <c r="I10" s="583"/>
      <c r="J10" s="583"/>
      <c r="K10" s="583"/>
      <c r="L10" s="583"/>
      <c r="M10" s="583"/>
      <c r="N10" s="583"/>
      <c r="O10" s="583"/>
      <c r="P10" s="583"/>
      <c r="Q10" s="583"/>
      <c r="R10" s="583"/>
      <c r="S10" s="583"/>
      <c r="T10" s="583"/>
      <c r="U10" s="583"/>
      <c r="V10" s="583"/>
      <c r="W10" s="583"/>
      <c r="X10" s="583"/>
      <c r="Y10" s="583"/>
      <c r="Z10" s="583"/>
      <c r="AA10" s="583"/>
      <c r="AB10" s="584"/>
      <c r="AC10" s="584"/>
      <c r="AD10" s="584"/>
      <c r="AE10" s="584"/>
      <c r="AF10" s="584"/>
      <c r="AG10" s="584"/>
      <c r="AH10" s="584"/>
      <c r="AI10" s="584"/>
      <c r="AJ10" s="153"/>
      <c r="AK10" s="153"/>
      <c r="AL10" s="153"/>
      <c r="AM10" s="153"/>
      <c r="AN10" s="153"/>
      <c r="AO10" s="153"/>
      <c r="AP10" s="153"/>
      <c r="AQ10" s="153"/>
      <c r="AR10" s="153"/>
      <c r="AS10" s="153"/>
      <c r="AT10" s="153"/>
      <c r="AU10" s="153"/>
      <c r="AV10" s="153"/>
      <c r="AW10" s="153"/>
    </row>
    <row r="11" spans="1:52" ht="15" customHeight="1" x14ac:dyDescent="0.25">
      <c r="A11" s="438"/>
      <c r="B11" s="601">
        <f>'FORMATO PROPUESTA ECONÓMICA'!A10</f>
        <v>1.3</v>
      </c>
      <c r="C11" s="602" t="str">
        <f>'FORMATO PROPUESTA ECONÓMICA'!B10</f>
        <v xml:space="preserve">Demolición de cordones </v>
      </c>
      <c r="D11" s="601" t="str">
        <f>'FORMATO PROPUESTA ECONÓMICA'!C10</f>
        <v>m</v>
      </c>
      <c r="E11" s="601">
        <f>'FORMATO PROPUESTA ECONÓMICA'!D10</f>
        <v>2340</v>
      </c>
      <c r="F11" s="156"/>
      <c r="G11" s="584"/>
      <c r="H11" s="584"/>
      <c r="I11" s="584"/>
      <c r="J11" s="584"/>
      <c r="K11" s="584"/>
      <c r="L11" s="583"/>
      <c r="M11" s="583"/>
      <c r="N11" s="583"/>
      <c r="O11" s="583"/>
      <c r="P11" s="583"/>
      <c r="Q11" s="583"/>
      <c r="R11" s="583"/>
      <c r="S11" s="583"/>
      <c r="T11" s="583"/>
      <c r="U11" s="583"/>
      <c r="V11" s="583"/>
      <c r="W11" s="583"/>
      <c r="X11" s="583"/>
      <c r="Y11" s="583"/>
      <c r="Z11" s="583"/>
      <c r="AA11" s="583"/>
      <c r="AB11" s="583"/>
      <c r="AC11" s="583"/>
      <c r="AD11" s="583"/>
      <c r="AE11" s="583"/>
      <c r="AF11" s="584"/>
      <c r="AG11" s="584"/>
      <c r="AH11" s="584"/>
      <c r="AI11" s="584"/>
      <c r="AJ11" s="584"/>
      <c r="AK11" s="584"/>
      <c r="AL11" s="584"/>
      <c r="AM11" s="584"/>
      <c r="AN11" s="584"/>
      <c r="AO11" s="584"/>
      <c r="AP11" s="584"/>
      <c r="AQ11" s="584"/>
      <c r="AR11" s="584"/>
      <c r="AS11" s="584"/>
      <c r="AT11" s="583"/>
      <c r="AU11" s="583"/>
      <c r="AV11" s="583"/>
      <c r="AW11" s="583"/>
    </row>
    <row r="12" spans="1:52" s="558" customFormat="1" ht="15" customHeight="1" x14ac:dyDescent="0.25">
      <c r="A12" s="438"/>
      <c r="B12" s="601">
        <f>'FORMATO PROPUESTA ECONÓMICA'!A11</f>
        <v>1.4</v>
      </c>
      <c r="C12" s="602" t="str">
        <f>'FORMATO PROPUESTA ECONÓMICA'!B11</f>
        <v>Demolicion de cunetas en concreto</v>
      </c>
      <c r="D12" s="601" t="str">
        <f>'FORMATO PROPUESTA ECONÓMICA'!C11</f>
        <v>m</v>
      </c>
      <c r="E12" s="601">
        <f>'FORMATO PROPUESTA ECONÓMICA'!D11</f>
        <v>2340</v>
      </c>
      <c r="F12" s="156"/>
      <c r="G12" s="584"/>
      <c r="H12" s="584"/>
      <c r="I12" s="584"/>
      <c r="J12" s="584"/>
      <c r="K12" s="153"/>
      <c r="L12" s="583"/>
      <c r="M12" s="583"/>
      <c r="N12" s="583"/>
      <c r="O12" s="583"/>
      <c r="P12" s="583"/>
      <c r="Q12" s="583"/>
      <c r="R12" s="583"/>
      <c r="S12" s="583"/>
      <c r="T12" s="583"/>
      <c r="U12" s="583"/>
      <c r="V12" s="583"/>
      <c r="W12" s="583"/>
      <c r="X12" s="583"/>
      <c r="Y12" s="583"/>
      <c r="Z12" s="583"/>
      <c r="AA12" s="583"/>
      <c r="AB12" s="583"/>
      <c r="AC12" s="583"/>
      <c r="AD12" s="583"/>
      <c r="AE12" s="583"/>
      <c r="AF12" s="584"/>
      <c r="AG12" s="584"/>
      <c r="AH12" s="584"/>
      <c r="AI12" s="584"/>
      <c r="AJ12" s="584"/>
      <c r="AK12" s="584"/>
      <c r="AL12" s="584"/>
      <c r="AM12" s="584"/>
      <c r="AN12" s="584"/>
      <c r="AO12" s="584"/>
      <c r="AP12" s="584"/>
      <c r="AQ12" s="584"/>
      <c r="AR12" s="584"/>
      <c r="AS12" s="584"/>
      <c r="AT12" s="584"/>
      <c r="AU12" s="584"/>
      <c r="AV12" s="584"/>
      <c r="AW12" s="584"/>
    </row>
    <row r="13" spans="1:52" ht="15" customHeight="1" x14ac:dyDescent="0.25">
      <c r="A13" s="33"/>
      <c r="B13" s="603">
        <f>'FORMATO PROPUESTA ECONÓMICA'!A12</f>
        <v>2</v>
      </c>
      <c r="C13" s="604" t="str">
        <f>'FORMATO PROPUESTA ECONÓMICA'!B12</f>
        <v>MOVIMIENTOS DE TIERRA</v>
      </c>
      <c r="D13" s="603">
        <f>'FORMATO PROPUESTA ECONÓMICA'!C12</f>
        <v>0</v>
      </c>
      <c r="E13" s="603"/>
      <c r="F13" s="603"/>
      <c r="G13" s="60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87"/>
      <c r="AQ13" s="587"/>
      <c r="AR13" s="587"/>
      <c r="AS13" s="587"/>
      <c r="AT13" s="587"/>
      <c r="AU13" s="587"/>
      <c r="AV13" s="587"/>
      <c r="AW13" s="587"/>
    </row>
    <row r="14" spans="1:52" s="558" customFormat="1" ht="15" customHeight="1" x14ac:dyDescent="0.2">
      <c r="A14" s="33"/>
      <c r="B14" s="603">
        <f>'FORMATO PROPUESTA ECONÓMICA'!A13</f>
        <v>2.1</v>
      </c>
      <c r="C14" s="604" t="str">
        <f>'FORMATO PROPUESTA ECONÓMICA'!B13</f>
        <v>EXCAVACIONES</v>
      </c>
      <c r="D14" s="603">
        <f>'FORMATO PROPUESTA ECONÓMICA'!C13</f>
        <v>0</v>
      </c>
      <c r="E14" s="603"/>
      <c r="F14" s="603"/>
      <c r="G14" s="603"/>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97"/>
      <c r="AQ14" s="597"/>
      <c r="AR14" s="597"/>
      <c r="AS14" s="597"/>
      <c r="AT14" s="597"/>
      <c r="AU14" s="597"/>
      <c r="AV14" s="597"/>
      <c r="AW14" s="597"/>
    </row>
    <row r="15" spans="1:52" ht="15" x14ac:dyDescent="0.25">
      <c r="A15" s="438"/>
      <c r="B15" s="601">
        <f>'FORMATO PROPUESTA ECONÓMICA'!A14</f>
        <v>2.2000000000000002</v>
      </c>
      <c r="C15" s="602" t="str">
        <f>'FORMATO PROPUESTA ECONÓMICA'!B14</f>
        <v>Excavación manual material común de 0 - 2m</v>
      </c>
      <c r="D15" s="601" t="str">
        <f>'FORMATO PROPUESTA ECONÓMICA'!C14</f>
        <v>m3</v>
      </c>
      <c r="E15" s="601">
        <f>'FORMATO PROPUESTA ECONÓMICA'!D14</f>
        <v>27800</v>
      </c>
      <c r="F15" s="582"/>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7"/>
      <c r="AP15" s="587"/>
      <c r="AQ15" s="587"/>
      <c r="AR15" s="587"/>
      <c r="AS15" s="587"/>
      <c r="AT15" s="587"/>
      <c r="AU15" s="587"/>
      <c r="AV15" s="587"/>
      <c r="AW15" s="587"/>
      <c r="AZ15" s="598"/>
    </row>
    <row r="16" spans="1:52" s="558" customFormat="1" ht="57" customHeight="1" x14ac:dyDescent="0.25">
      <c r="A16" s="438"/>
      <c r="B16" s="601">
        <f>'FORMATO PROPUESTA ECONÓMICA'!A17</f>
        <v>3</v>
      </c>
      <c r="C16" s="604" t="str">
        <f>'FORMATO PROPUESTA ECONÓMICA'!B17</f>
        <v>Suministro, transporte y colocación (S.T.C.) de Lleno y compactación de material de préstamo o de excavación para zanjas y apiques, incluye compactación manual o mecánica con equipo compactador, realizado con capas horizontales con espesor no &gt; 0,2m</v>
      </c>
      <c r="D16" s="603">
        <f>'FORMATO PROPUESTA ECONÓMICA'!C17</f>
        <v>0</v>
      </c>
      <c r="E16" s="603">
        <f>'FORMATO PROPUESTA ECONÓMICA'!D17</f>
        <v>0</v>
      </c>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153"/>
      <c r="AQ16" s="153"/>
      <c r="AR16" s="153"/>
      <c r="AS16" s="153"/>
      <c r="AT16" s="153"/>
      <c r="AU16" s="153"/>
      <c r="AV16" s="153"/>
      <c r="AW16" s="153"/>
    </row>
    <row r="17" spans="1:49" ht="15" x14ac:dyDescent="0.25">
      <c r="A17" s="153"/>
      <c r="B17" s="601">
        <f>'FORMATO PROPUESTA ECONÓMICA'!A18</f>
        <v>3.1</v>
      </c>
      <c r="C17" s="602" t="str">
        <f>'FORMATO PROPUESTA ECONÓMICA'!B18</f>
        <v>Lleno y apisonado de zanjas y apiques con material seleccionado de la excavación.</v>
      </c>
      <c r="D17" s="601" t="str">
        <f>'FORMATO PROPUESTA ECONÓMICA'!C18</f>
        <v>m3</v>
      </c>
      <c r="E17" s="601">
        <f>'FORMATO PROPUESTA ECONÓMICA'!D18</f>
        <v>6043</v>
      </c>
      <c r="F17" s="599"/>
      <c r="G17" s="583"/>
      <c r="H17" s="583"/>
      <c r="I17" s="583"/>
      <c r="J17" s="583"/>
      <c r="K17" s="583"/>
      <c r="L17" s="583"/>
      <c r="M17" s="583"/>
      <c r="N17" s="583"/>
      <c r="O17" s="583"/>
      <c r="P17" s="583"/>
      <c r="Q17" s="583"/>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595"/>
      <c r="AP17" s="595"/>
      <c r="AQ17" s="595"/>
      <c r="AR17" s="595"/>
      <c r="AS17" s="595"/>
      <c r="AT17" s="595"/>
      <c r="AU17" s="595"/>
      <c r="AV17" s="595"/>
      <c r="AW17" s="595"/>
    </row>
    <row r="18" spans="1:49" ht="15" x14ac:dyDescent="0.25">
      <c r="A18" s="438"/>
      <c r="B18" s="601">
        <f>'FORMATO PROPUESTA ECONÓMICA'!A19</f>
        <v>3.2</v>
      </c>
      <c r="C18" s="602" t="str">
        <f>'FORMATO PROPUESTA ECONÓMICA'!B19</f>
        <v>Lleno y apisonado de zanjas y apiques con material de préstamo (incluye compactación)</v>
      </c>
      <c r="D18" s="601" t="str">
        <f>'FORMATO PROPUESTA ECONÓMICA'!C19</f>
        <v>m3</v>
      </c>
      <c r="E18" s="601">
        <f>'FORMATO PROPUESTA ECONÓMICA'!D19</f>
        <v>15671</v>
      </c>
      <c r="F18" s="156"/>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3"/>
      <c r="AL18" s="583"/>
      <c r="AM18" s="583"/>
      <c r="AN18" s="583"/>
      <c r="AO18" s="153"/>
      <c r="AP18" s="153"/>
      <c r="AQ18" s="153"/>
      <c r="AR18" s="153"/>
      <c r="AS18" s="153"/>
      <c r="AT18" s="153"/>
      <c r="AU18" s="153"/>
      <c r="AV18" s="153"/>
      <c r="AW18" s="153"/>
    </row>
    <row r="19" spans="1:49" ht="15" x14ac:dyDescent="0.25">
      <c r="A19" s="438"/>
      <c r="B19" s="601">
        <f>'FORMATO PROPUESTA ECONÓMICA'!A20</f>
        <v>3.3</v>
      </c>
      <c r="C19" s="602" t="str">
        <f>'FORMATO PROPUESTA ECONÓMICA'!B20</f>
        <v>Lleno y apisonado de zanjas y apiques con arenilla para protección de tubería (incluye compactación)</v>
      </c>
      <c r="D19" s="601" t="str">
        <f>'FORMATO PROPUESTA ECONÓMICA'!C20</f>
        <v>m3</v>
      </c>
      <c r="E19" s="601">
        <f>'FORMATO PROPUESTA ECONÓMICA'!D20</f>
        <v>9323</v>
      </c>
      <c r="F19" s="156"/>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3"/>
      <c r="AL19" s="583"/>
      <c r="AM19" s="583"/>
      <c r="AN19" s="583"/>
      <c r="AO19" s="584"/>
      <c r="AP19" s="584"/>
      <c r="AQ19" s="584"/>
      <c r="AR19" s="584"/>
      <c r="AS19" s="584"/>
      <c r="AT19" s="584"/>
      <c r="AU19" s="584"/>
      <c r="AV19" s="584"/>
      <c r="AW19" s="584"/>
    </row>
    <row r="20" spans="1:49" s="558" customFormat="1" ht="15" x14ac:dyDescent="0.25">
      <c r="A20" s="438"/>
      <c r="B20" s="601">
        <f>'FORMATO PROPUESTA ECONÓMICA'!A21</f>
        <v>3.4</v>
      </c>
      <c r="C20" s="602" t="str">
        <f>'FORMATO PROPUESTA ECONÓMICA'!B21</f>
        <v>Lleno y apisonado de zanjas y apiques con base granular</v>
      </c>
      <c r="D20" s="601" t="str">
        <f>'FORMATO PROPUESTA ECONÓMICA'!C21</f>
        <v>m3</v>
      </c>
      <c r="E20" s="601">
        <f>'FORMATO PROPUESTA ECONÓMICA'!D21</f>
        <v>8.9</v>
      </c>
      <c r="F20" s="156"/>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4"/>
      <c r="AP20" s="584"/>
      <c r="AQ20" s="584"/>
      <c r="AR20" s="584"/>
      <c r="AS20" s="584"/>
      <c r="AT20" s="584"/>
      <c r="AU20" s="584"/>
      <c r="AV20" s="584"/>
      <c r="AW20" s="584"/>
    </row>
    <row r="21" spans="1:49" ht="15" x14ac:dyDescent="0.25">
      <c r="A21" s="438"/>
      <c r="B21" s="601">
        <f>'FORMATO PROPUESTA ECONÓMICA'!A22</f>
        <v>3.5</v>
      </c>
      <c r="C21" s="602" t="str">
        <f>'FORMATO PROPUESTA ECONÓMICA'!B22</f>
        <v>Lleno y apisonado de zanjas y apiques con subbase granular</v>
      </c>
      <c r="D21" s="601" t="str">
        <f>'FORMATO PROPUESTA ECONÓMICA'!C22</f>
        <v>m3</v>
      </c>
      <c r="E21" s="601">
        <f>'FORMATO PROPUESTA ECONÓMICA'!D22</f>
        <v>503.6</v>
      </c>
      <c r="F21" s="156"/>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4"/>
      <c r="AP21" s="584"/>
      <c r="AQ21" s="584"/>
      <c r="AR21" s="584"/>
      <c r="AS21" s="584"/>
      <c r="AT21" s="584"/>
      <c r="AU21" s="584"/>
      <c r="AV21" s="584"/>
      <c r="AW21" s="584"/>
    </row>
    <row r="22" spans="1:49" s="558" customFormat="1" ht="15" x14ac:dyDescent="0.25">
      <c r="A22" s="33"/>
      <c r="B22" s="603">
        <f>'FORMATO PROPUESTA ECONÓMICA'!A24</f>
        <v>4</v>
      </c>
      <c r="C22" s="604" t="str">
        <f>'FORMATO PROPUESTA ECONÓMICA'!B24</f>
        <v>DISPOSICIÓN DE MATERIALES SOBRANTES</v>
      </c>
      <c r="D22" s="603">
        <f>'FORMATO PROPUESTA ECONÓMICA'!C24</f>
        <v>0</v>
      </c>
      <c r="E22" s="603"/>
      <c r="F22" s="603"/>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9"/>
      <c r="AL22" s="589"/>
      <c r="AM22" s="589"/>
      <c r="AN22" s="589"/>
      <c r="AO22" s="589"/>
      <c r="AP22" s="584"/>
      <c r="AQ22" s="584"/>
      <c r="AR22" s="584"/>
      <c r="AS22" s="584"/>
      <c r="AT22" s="584"/>
      <c r="AU22" s="584"/>
      <c r="AV22" s="584"/>
      <c r="AW22" s="584"/>
    </row>
    <row r="23" spans="1:49" ht="15" x14ac:dyDescent="0.25">
      <c r="A23" s="438"/>
      <c r="B23" s="601">
        <f>'FORMATO PROPUESTA ECONÓMICA'!A25</f>
        <v>4.0999999999999996</v>
      </c>
      <c r="C23" s="602" t="str">
        <f>'FORMATO PROPUESTA ECONÓMICA'!B25</f>
        <v>Cargue con maquinaria, retiro y disposición final de material sobrante a 4 Km</v>
      </c>
      <c r="D23" s="601" t="str">
        <f>'FORMATO PROPUESTA ECONÓMICA'!C25</f>
        <v>m3</v>
      </c>
      <c r="E23" s="601">
        <f>'FORMATO PROPUESTA ECONÓMICA'!D25</f>
        <v>26255</v>
      </c>
      <c r="F23" s="156"/>
      <c r="G23" s="153"/>
      <c r="H23" s="153"/>
      <c r="I23" s="15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91"/>
      <c r="AQ23" s="591"/>
      <c r="AR23" s="591"/>
      <c r="AS23" s="591"/>
      <c r="AT23" s="591"/>
      <c r="AU23" s="591"/>
      <c r="AV23" s="591"/>
      <c r="AW23" s="591"/>
    </row>
    <row r="24" spans="1:49" ht="15" customHeight="1" x14ac:dyDescent="0.25">
      <c r="A24" s="33"/>
      <c r="B24" s="603">
        <f>'FORMATO PROPUESTA ECONÓMICA'!A26</f>
        <v>5</v>
      </c>
      <c r="C24" s="604" t="str">
        <f>'FORMATO PROPUESTA ECONÓMICA'!B26</f>
        <v xml:space="preserve">RECONSTRUCCIÓN DE ANDENES EN CONCRETO, CON Y SIN ESCALAS, ARENÓN O VITRIFICADO.           </v>
      </c>
      <c r="D24" s="603">
        <f>'FORMATO PROPUESTA ECONÓMICA'!C26</f>
        <v>0</v>
      </c>
      <c r="E24" s="603"/>
      <c r="F24" s="603"/>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9"/>
      <c r="AL24" s="589"/>
      <c r="AM24" s="589"/>
      <c r="AN24" s="589"/>
      <c r="AO24" s="589"/>
      <c r="AP24" s="584"/>
      <c r="AQ24" s="584"/>
      <c r="AR24" s="584"/>
      <c r="AS24" s="584"/>
      <c r="AT24" s="583"/>
      <c r="AU24" s="583"/>
      <c r="AV24" s="583"/>
      <c r="AW24" s="583"/>
    </row>
    <row r="25" spans="1:49" s="558" customFormat="1" ht="15" customHeight="1" x14ac:dyDescent="0.25">
      <c r="A25" s="438"/>
      <c r="B25" s="601">
        <f>'FORMATO PROPUESTA ECONÓMICA'!A27</f>
        <v>5.0999999999999996</v>
      </c>
      <c r="C25" s="602" t="str">
        <f>'FORMATO PROPUESTA ECONÓMICA'!B27</f>
        <v>Reconstrucción de andenes en concreto f'c = 3000PSI, e = 0,10m</v>
      </c>
      <c r="D25" s="601" t="str">
        <f>'FORMATO PROPUESTA ECONÓMICA'!C27</f>
        <v>m2</v>
      </c>
      <c r="E25" s="601">
        <f>'FORMATO PROPUESTA ECONÓMICA'!D27</f>
        <v>7447</v>
      </c>
      <c r="F25" s="156"/>
      <c r="G25" s="584"/>
      <c r="H25" s="584"/>
      <c r="I25" s="584"/>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4"/>
      <c r="AH25" s="584"/>
      <c r="AI25" s="584"/>
      <c r="AJ25" s="584"/>
      <c r="AK25" s="584"/>
      <c r="AL25" s="584"/>
      <c r="AM25" s="584"/>
      <c r="AN25" s="584"/>
      <c r="AO25" s="584"/>
      <c r="AP25" s="584"/>
      <c r="AQ25" s="584"/>
      <c r="AR25" s="584"/>
      <c r="AS25" s="584"/>
      <c r="AT25" s="584"/>
      <c r="AU25" s="584"/>
      <c r="AV25" s="584"/>
      <c r="AW25" s="584"/>
    </row>
    <row r="26" spans="1:49" ht="15" customHeight="1" x14ac:dyDescent="0.25">
      <c r="A26" s="438"/>
      <c r="B26" s="601">
        <f>'FORMATO PROPUESTA ECONÓMICA'!A28</f>
        <v>5.2</v>
      </c>
      <c r="C26" s="602" t="str">
        <f>'FORMATO PROPUESTA ECONÓMICA'!B28</f>
        <v>Reconstrucción de andenes en granito, arenón o vitrificado.</v>
      </c>
      <c r="D26" s="601" t="str">
        <f>'FORMATO PROPUESTA ECONÓMICA'!C28</f>
        <v>m2</v>
      </c>
      <c r="E26" s="601">
        <f>'FORMATO PROPUESTA ECONÓMICA'!D28</f>
        <v>1688</v>
      </c>
      <c r="F26" s="156"/>
      <c r="G26" s="584"/>
      <c r="H26" s="584"/>
      <c r="I26" s="584"/>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4"/>
      <c r="AH26" s="584"/>
      <c r="AI26" s="584"/>
      <c r="AJ26" s="584"/>
      <c r="AK26" s="584"/>
      <c r="AL26" s="584"/>
      <c r="AM26" s="584"/>
      <c r="AN26" s="584"/>
      <c r="AO26" s="584"/>
      <c r="AP26" s="584"/>
      <c r="AQ26" s="584"/>
      <c r="AR26" s="584"/>
      <c r="AS26" s="584"/>
      <c r="AT26" s="584"/>
      <c r="AU26" s="584"/>
      <c r="AV26" s="584"/>
      <c r="AW26" s="584"/>
    </row>
    <row r="27" spans="1:49" s="558" customFormat="1" ht="15" x14ac:dyDescent="0.25">
      <c r="A27" s="438"/>
      <c r="B27" s="601">
        <f>'FORMATO PROPUESTA ECONÓMICA'!A29</f>
        <v>5.3</v>
      </c>
      <c r="C27" s="602" t="str">
        <f>'FORMATO PROPUESTA ECONÓMICA'!B29</f>
        <v>Construcción o reconstrucción de cordón en concreto, vaciado o prefabricado de 3 caras.  (Ver esquemas 1,2 y 3 NEGC 402).</v>
      </c>
      <c r="D27" s="601" t="str">
        <f>'FORMATO PROPUESTA ECONÓMICA'!C29</f>
        <v>m</v>
      </c>
      <c r="E27" s="601">
        <f>'FORMATO PROPUESTA ECONÓMICA'!D29</f>
        <v>2340</v>
      </c>
      <c r="F27" s="156"/>
      <c r="G27" s="584"/>
      <c r="H27" s="584"/>
      <c r="I27" s="584"/>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4"/>
      <c r="AH27" s="584"/>
      <c r="AI27" s="584"/>
      <c r="AJ27" s="584"/>
      <c r="AK27" s="584"/>
      <c r="AL27" s="584"/>
      <c r="AM27" s="584"/>
      <c r="AN27" s="584"/>
      <c r="AO27" s="584"/>
      <c r="AP27" s="584"/>
      <c r="AQ27" s="584"/>
      <c r="AR27" s="584"/>
      <c r="AS27" s="584"/>
      <c r="AT27" s="584"/>
      <c r="AU27" s="584"/>
      <c r="AV27" s="584"/>
      <c r="AW27" s="584"/>
    </row>
    <row r="28" spans="1:49" ht="15" x14ac:dyDescent="0.25">
      <c r="A28" s="438"/>
      <c r="B28" s="601">
        <f>'FORMATO PROPUESTA ECONÓMICA'!A30</f>
        <v>5.4</v>
      </c>
      <c r="C28" s="602" t="str">
        <f>'FORMATO PROPUESTA ECONÓMICA'!B30</f>
        <v>Reconstruccion de cuneta en concreto de 3000 psi, espesor 0,1 m de espesor. Incluye excavación y lleno con material seleccionado de 0,2 m de espesor.</v>
      </c>
      <c r="D28" s="601" t="str">
        <f>'FORMATO PROPUESTA ECONÓMICA'!C30</f>
        <v>m</v>
      </c>
      <c r="E28" s="601">
        <f>'FORMATO PROPUESTA ECONÓMICA'!D30</f>
        <v>2340</v>
      </c>
      <c r="F28" s="156"/>
      <c r="G28" s="584"/>
      <c r="H28" s="584"/>
      <c r="I28" s="584"/>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4"/>
      <c r="AH28" s="584"/>
      <c r="AI28" s="584"/>
      <c r="AJ28" s="584"/>
      <c r="AK28" s="584"/>
      <c r="AL28" s="584"/>
      <c r="AM28" s="584"/>
      <c r="AN28" s="584"/>
      <c r="AO28" s="584"/>
      <c r="AP28" s="591"/>
      <c r="AQ28" s="591"/>
      <c r="AR28" s="591"/>
      <c r="AS28" s="591"/>
      <c r="AT28" s="591"/>
      <c r="AU28" s="591"/>
      <c r="AV28" s="591"/>
      <c r="AW28" s="591"/>
    </row>
    <row r="29" spans="1:49" ht="15" x14ac:dyDescent="0.25">
      <c r="A29" s="438"/>
      <c r="B29" s="601">
        <f>'FORMATO PROPUESTA ECONÓMICA'!A31</f>
        <v>5.5</v>
      </c>
      <c r="C29" s="602" t="str">
        <f>'FORMATO PROPUESTA ECONÓMICA'!B31</f>
        <v>Retiro y colocación de adoquines</v>
      </c>
      <c r="D29" s="601" t="str">
        <f>'FORMATO PROPUESTA ECONÓMICA'!C31</f>
        <v>m2</v>
      </c>
      <c r="E29" s="601">
        <f>'FORMATO PROPUESTA ECONÓMICA'!D31</f>
        <v>1711.4</v>
      </c>
      <c r="F29" s="156"/>
      <c r="G29" s="584"/>
      <c r="H29" s="584"/>
      <c r="I29" s="584"/>
      <c r="J29" s="584"/>
      <c r="K29" s="584"/>
      <c r="L29" s="584"/>
      <c r="M29" s="584"/>
      <c r="N29" s="584"/>
      <c r="O29" s="583"/>
      <c r="P29" s="583"/>
      <c r="Q29" s="583"/>
      <c r="R29" s="583"/>
      <c r="S29" s="583"/>
      <c r="T29" s="583"/>
      <c r="U29" s="583"/>
      <c r="V29" s="583"/>
      <c r="W29" s="583"/>
      <c r="X29" s="583"/>
      <c r="Y29" s="583"/>
      <c r="Z29" s="583"/>
      <c r="AA29" s="583"/>
      <c r="AB29" s="583"/>
      <c r="AC29" s="583"/>
      <c r="AD29" s="583"/>
      <c r="AE29" s="583"/>
      <c r="AF29" s="583"/>
      <c r="AG29" s="584"/>
      <c r="AH29" s="584"/>
      <c r="AI29" s="584"/>
      <c r="AJ29" s="584"/>
      <c r="AK29" s="584"/>
      <c r="AL29" s="584"/>
      <c r="AM29" s="584"/>
      <c r="AN29" s="584"/>
      <c r="AO29" s="584"/>
      <c r="AP29" s="584"/>
      <c r="AQ29" s="584"/>
      <c r="AR29" s="584"/>
      <c r="AS29" s="584"/>
      <c r="AT29" s="583"/>
      <c r="AU29" s="583"/>
      <c r="AV29" s="583"/>
      <c r="AW29" s="583"/>
    </row>
    <row r="30" spans="1:49" s="558" customFormat="1" ht="15" x14ac:dyDescent="0.25">
      <c r="A30" s="562"/>
      <c r="B30" s="603">
        <f>'FORMATO PROPUESTA ECONÓMICA'!A32</f>
        <v>6</v>
      </c>
      <c r="C30" s="604" t="str">
        <f>'FORMATO PROPUESTA ECONÓMICA'!B32</f>
        <v>TRANSPORTE Y COLOCACIÓN DE TUBERÍA Y ACCESORIOS PARA ACUEDUCTO PEAD</v>
      </c>
      <c r="D30" s="603">
        <f>'FORMATO PROPUESTA ECONÓMICA'!C32</f>
        <v>0</v>
      </c>
      <c r="E30" s="603"/>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9"/>
      <c r="AL30" s="589"/>
      <c r="AM30" s="589"/>
      <c r="AN30" s="589"/>
      <c r="AO30" s="589"/>
      <c r="AP30" s="584"/>
      <c r="AQ30" s="584"/>
      <c r="AR30" s="584"/>
      <c r="AS30" s="584"/>
      <c r="AT30" s="584"/>
      <c r="AU30" s="584"/>
      <c r="AV30" s="584"/>
      <c r="AW30" s="584"/>
    </row>
    <row r="31" spans="1:49" x14ac:dyDescent="0.2">
      <c r="A31" s="559"/>
      <c r="B31" s="601">
        <f>'FORMATO PROPUESTA ECONÓMICA'!A33</f>
        <v>6.1</v>
      </c>
      <c r="C31" s="602" t="str">
        <f>'FORMATO PROPUESTA ECONÓMICA'!B33</f>
        <v xml:space="preserve">Tubería de polietileno para acueducto PE 100 PN 10, Øint. 55.4 mm, (63 mm). </v>
      </c>
      <c r="D31" s="601" t="str">
        <f>'FORMATO PROPUESTA ECONÓMICA'!C33</f>
        <v>m</v>
      </c>
      <c r="E31" s="601">
        <f>'FORMATO PROPUESTA ECONÓMICA'!D33</f>
        <v>15002</v>
      </c>
      <c r="F31" s="584"/>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4"/>
      <c r="AH31" s="584"/>
      <c r="AI31" s="584"/>
      <c r="AJ31" s="584"/>
      <c r="AK31" s="584"/>
      <c r="AL31" s="584"/>
      <c r="AM31" s="584"/>
      <c r="AN31" s="584"/>
      <c r="AO31" s="584"/>
      <c r="AP31" s="584"/>
      <c r="AQ31" s="584"/>
      <c r="AR31" s="584"/>
      <c r="AS31" s="584"/>
      <c r="AT31" s="584"/>
      <c r="AU31" s="584"/>
      <c r="AV31" s="584"/>
      <c r="AW31" s="584"/>
    </row>
    <row r="32" spans="1:49" s="558" customFormat="1" x14ac:dyDescent="0.2">
      <c r="A32" s="176"/>
      <c r="B32" s="601">
        <f>'FORMATO PROPUESTA ECONÓMICA'!A34</f>
        <v>6.2</v>
      </c>
      <c r="C32" s="602" t="str">
        <f>'FORMATO PROPUESTA ECONÓMICA'!B34</f>
        <v xml:space="preserve">Tubería de polietileno para acueducto PE 100 PN 10, Øint. 79.2 mm, (90 mm). </v>
      </c>
      <c r="D32" s="601" t="str">
        <f>'FORMATO PROPUESTA ECONÓMICA'!C34</f>
        <v>m</v>
      </c>
      <c r="E32" s="601">
        <f>'FORMATO PROPUESTA ECONÓMICA'!D34</f>
        <v>20898</v>
      </c>
      <c r="F32" s="584"/>
      <c r="G32" s="584"/>
      <c r="H32" s="584"/>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4"/>
      <c r="AK32" s="584"/>
      <c r="AL32" s="584"/>
      <c r="AM32" s="584"/>
      <c r="AN32" s="584"/>
      <c r="AO32" s="584"/>
      <c r="AP32" s="584"/>
      <c r="AQ32" s="584"/>
      <c r="AR32" s="584"/>
      <c r="AS32" s="584"/>
      <c r="AT32" s="584"/>
      <c r="AU32" s="584"/>
      <c r="AV32" s="584"/>
      <c r="AW32" s="584"/>
    </row>
    <row r="33" spans="1:49" s="558" customFormat="1" x14ac:dyDescent="0.2">
      <c r="A33" s="176"/>
      <c r="B33" s="601">
        <f>'FORMATO PROPUESTA ECONÓMICA'!A35</f>
        <v>6.3</v>
      </c>
      <c r="C33" s="602" t="str">
        <f>'FORMATO PROPUESTA ECONÓMICA'!B35</f>
        <v xml:space="preserve">Tubería de polietileno para acueducto PE 100 PN 10, Øint. 96.8 mm, (110 mm). </v>
      </c>
      <c r="D33" s="601" t="str">
        <f>'FORMATO PROPUESTA ECONÓMICA'!C35</f>
        <v>m</v>
      </c>
      <c r="E33" s="601">
        <f>'FORMATO PROPUESTA ECONÓMICA'!D35</f>
        <v>4938</v>
      </c>
      <c r="F33" s="584"/>
      <c r="G33" s="584"/>
      <c r="H33" s="584"/>
      <c r="I33" s="584"/>
      <c r="J33" s="584"/>
      <c r="K33" s="584"/>
      <c r="L33" s="584"/>
      <c r="M33" s="584"/>
      <c r="N33" s="584"/>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4"/>
      <c r="AQ33" s="584"/>
      <c r="AR33" s="584"/>
      <c r="AS33" s="584"/>
      <c r="AT33" s="584"/>
      <c r="AU33" s="584"/>
      <c r="AV33" s="584"/>
      <c r="AW33" s="584"/>
    </row>
    <row r="34" spans="1:49" s="558" customFormat="1" x14ac:dyDescent="0.2">
      <c r="A34" s="176"/>
      <c r="B34" s="601">
        <f>'FORMATO PROPUESTA ECONÓMICA'!A36</f>
        <v>6.4</v>
      </c>
      <c r="C34" s="602" t="str">
        <f>'FORMATO PROPUESTA ECONÓMICA'!B36</f>
        <v xml:space="preserve">Tubería de polietileno para acueducto PE 100 PN 10, Øint. 141.2 mm, (160 mm). </v>
      </c>
      <c r="D34" s="601" t="str">
        <f>'FORMATO PROPUESTA ECONÓMICA'!C36</f>
        <v>m</v>
      </c>
      <c r="E34" s="601">
        <f>'FORMATO PROPUESTA ECONÓMICA'!D36</f>
        <v>159</v>
      </c>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3"/>
      <c r="AE34" s="583"/>
      <c r="AF34" s="583"/>
      <c r="AG34" s="583"/>
      <c r="AH34" s="583"/>
      <c r="AI34" s="583"/>
      <c r="AJ34" s="583"/>
      <c r="AK34" s="583"/>
      <c r="AL34" s="583"/>
      <c r="AM34" s="583"/>
      <c r="AN34" s="584"/>
      <c r="AO34" s="584"/>
      <c r="AP34" s="584"/>
      <c r="AQ34" s="584"/>
      <c r="AR34" s="584"/>
      <c r="AS34" s="584"/>
      <c r="AT34" s="584"/>
      <c r="AU34" s="584"/>
      <c r="AV34" s="584"/>
      <c r="AW34" s="584"/>
    </row>
    <row r="35" spans="1:49" x14ac:dyDescent="0.2">
      <c r="A35" s="592"/>
      <c r="B35" s="601">
        <f>'FORMATO PROPUESTA ECONÓMICA'!A37</f>
        <v>6.5</v>
      </c>
      <c r="C35" s="602" t="str">
        <f>'FORMATO PROPUESTA ECONÓMICA'!B37</f>
        <v xml:space="preserve">Tubería de polietileno para acueducto PE 100 PN 10, Øint. 176,2 mm, (200 mm). </v>
      </c>
      <c r="D35" s="601" t="str">
        <f>'FORMATO PROPUESTA ECONÓMICA'!C37</f>
        <v>m</v>
      </c>
      <c r="E35" s="601">
        <f>'FORMATO PROPUESTA ECONÓMICA'!D37</f>
        <v>2349</v>
      </c>
      <c r="F35" s="584"/>
      <c r="G35" s="583"/>
      <c r="H35" s="583"/>
      <c r="I35" s="583"/>
      <c r="J35" s="583"/>
      <c r="K35" s="584"/>
      <c r="L35" s="584"/>
      <c r="M35" s="584"/>
      <c r="N35" s="584"/>
      <c r="O35" s="584"/>
      <c r="P35" s="584"/>
      <c r="Q35" s="584"/>
      <c r="R35" s="584"/>
      <c r="S35" s="584"/>
      <c r="T35" s="584"/>
      <c r="U35" s="584"/>
      <c r="V35" s="584"/>
      <c r="W35" s="584"/>
      <c r="X35" s="584"/>
      <c r="Y35" s="584"/>
      <c r="Z35" s="584"/>
      <c r="AA35" s="584"/>
      <c r="AB35" s="584"/>
      <c r="AC35" s="584"/>
      <c r="AD35" s="584"/>
      <c r="AE35" s="584"/>
      <c r="AF35" s="584"/>
      <c r="AG35" s="584"/>
      <c r="AH35" s="584"/>
      <c r="AI35" s="584"/>
      <c r="AJ35" s="584"/>
      <c r="AK35" s="584"/>
      <c r="AL35" s="584"/>
      <c r="AM35" s="584"/>
      <c r="AN35" s="584"/>
      <c r="AO35" s="584"/>
      <c r="AP35" s="584"/>
      <c r="AQ35" s="583"/>
      <c r="AR35" s="583"/>
      <c r="AS35" s="584"/>
      <c r="AT35" s="583"/>
      <c r="AU35" s="583"/>
      <c r="AV35" s="583"/>
      <c r="AW35" s="583"/>
    </row>
    <row r="36" spans="1:49" s="558" customFormat="1" x14ac:dyDescent="0.2">
      <c r="A36" s="592"/>
      <c r="B36" s="601">
        <f>'FORMATO PROPUESTA ECONÓMICA'!A38</f>
        <v>6.6</v>
      </c>
      <c r="C36" s="602" t="str">
        <f>'FORMATO PROPUESTA ECONÓMICA'!B38</f>
        <v>Tee PEAD PN10 d= 63x63 Termofusion</v>
      </c>
      <c r="D36" s="601" t="str">
        <f>'FORMATO PROPUESTA ECONÓMICA'!C38</f>
        <v>und</v>
      </c>
      <c r="E36" s="601">
        <f>'FORMATO PROPUESTA ECONÓMICA'!D38</f>
        <v>60</v>
      </c>
      <c r="F36" s="584"/>
      <c r="G36" s="584"/>
      <c r="H36" s="584"/>
      <c r="I36" s="584"/>
      <c r="J36" s="584"/>
      <c r="K36" s="583"/>
      <c r="L36" s="583"/>
      <c r="M36" s="583"/>
      <c r="N36" s="583"/>
      <c r="O36" s="583"/>
      <c r="P36" s="583"/>
      <c r="Q36" s="583"/>
      <c r="R36" s="583"/>
      <c r="S36" s="583"/>
      <c r="T36" s="583"/>
      <c r="U36" s="583"/>
      <c r="V36" s="583"/>
      <c r="W36" s="583"/>
      <c r="X36" s="583"/>
      <c r="Y36" s="583"/>
      <c r="Z36" s="583"/>
      <c r="AA36" s="583"/>
      <c r="AB36" s="583"/>
      <c r="AC36" s="583"/>
      <c r="AD36" s="583"/>
      <c r="AE36" s="584"/>
      <c r="AF36" s="584"/>
      <c r="AG36" s="584"/>
      <c r="AH36" s="584"/>
      <c r="AI36" s="584"/>
      <c r="AJ36" s="584"/>
      <c r="AK36" s="584"/>
      <c r="AL36" s="584"/>
      <c r="AM36" s="584"/>
      <c r="AN36" s="584"/>
      <c r="AO36" s="584"/>
      <c r="AP36" s="584"/>
      <c r="AQ36" s="584"/>
      <c r="AR36" s="584"/>
      <c r="AS36" s="584"/>
      <c r="AT36" s="584"/>
      <c r="AU36" s="584"/>
      <c r="AV36" s="584"/>
      <c r="AW36" s="584"/>
    </row>
    <row r="37" spans="1:49" x14ac:dyDescent="0.2">
      <c r="A37" s="592"/>
      <c r="B37" s="601">
        <f>'FORMATO PROPUESTA ECONÓMICA'!A39</f>
        <v>6.7</v>
      </c>
      <c r="C37" s="602" t="str">
        <f>'FORMATO PROPUESTA ECONÓMICA'!B39</f>
        <v>Tee PEAD PN10 d= 90x90 Termofusion</v>
      </c>
      <c r="D37" s="601" t="str">
        <f>'FORMATO PROPUESTA ECONÓMICA'!C39</f>
        <v>und</v>
      </c>
      <c r="E37" s="601">
        <f>'FORMATO PROPUESTA ECONÓMICA'!D39</f>
        <v>220</v>
      </c>
      <c r="F37" s="584"/>
      <c r="G37" s="584"/>
      <c r="H37" s="584"/>
      <c r="I37" s="584"/>
      <c r="J37" s="584"/>
      <c r="K37" s="584"/>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4"/>
      <c r="AP37" s="584"/>
      <c r="AQ37" s="584"/>
      <c r="AR37" s="584"/>
      <c r="AS37" s="584"/>
      <c r="AT37" s="584"/>
      <c r="AU37" s="584"/>
      <c r="AV37" s="584"/>
      <c r="AW37" s="584"/>
    </row>
    <row r="38" spans="1:49" s="558" customFormat="1" x14ac:dyDescent="0.2">
      <c r="A38" s="592"/>
      <c r="B38" s="601">
        <f>'FORMATO PROPUESTA ECONÓMICA'!A40</f>
        <v>6.8</v>
      </c>
      <c r="C38" s="602" t="str">
        <f>'FORMATO PROPUESTA ECONÓMICA'!B40</f>
        <v>Tee PEAD PN10 d=110x110 Termofusion</v>
      </c>
      <c r="D38" s="601" t="str">
        <f>'FORMATO PROPUESTA ECONÓMICA'!C40</f>
        <v>und</v>
      </c>
      <c r="E38" s="601">
        <f>'FORMATO PROPUESTA ECONÓMICA'!D40</f>
        <v>10</v>
      </c>
      <c r="F38" s="584"/>
      <c r="G38" s="584"/>
      <c r="H38" s="584"/>
      <c r="I38" s="584"/>
      <c r="J38" s="584"/>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4"/>
      <c r="AN38" s="584"/>
      <c r="AO38" s="584"/>
      <c r="AP38" s="584"/>
      <c r="AQ38" s="584"/>
      <c r="AR38" s="584"/>
      <c r="AS38" s="584"/>
      <c r="AT38" s="584"/>
      <c r="AU38" s="584"/>
      <c r="AV38" s="584"/>
      <c r="AW38" s="584"/>
    </row>
    <row r="39" spans="1:49" x14ac:dyDescent="0.2">
      <c r="A39" s="584"/>
      <c r="B39" s="601">
        <f>'FORMATO PROPUESTA ECONÓMICA'!A41</f>
        <v>6.9</v>
      </c>
      <c r="C39" s="602" t="str">
        <f>'FORMATO PROPUESTA ECONÓMICA'!B41</f>
        <v>Tee PEAD PN10 d=160x160mm Termofusion</v>
      </c>
      <c r="D39" s="601" t="str">
        <f>'FORMATO PROPUESTA ECONÓMICA'!C41</f>
        <v>und</v>
      </c>
      <c r="E39" s="601">
        <f>'FORMATO PROPUESTA ECONÓMICA'!D41</f>
        <v>2</v>
      </c>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c r="AE39" s="584"/>
      <c r="AF39" s="584"/>
      <c r="AG39" s="584"/>
      <c r="AH39" s="584"/>
      <c r="AI39" s="584"/>
      <c r="AJ39" s="584"/>
      <c r="AK39" s="584"/>
      <c r="AL39" s="584"/>
      <c r="AM39" s="584"/>
      <c r="AN39" s="584"/>
      <c r="AO39" s="584"/>
      <c r="AP39" s="591"/>
      <c r="AQ39" s="591"/>
      <c r="AR39" s="591"/>
      <c r="AS39" s="591"/>
      <c r="AT39" s="591"/>
      <c r="AU39" s="591"/>
      <c r="AV39" s="591"/>
      <c r="AW39" s="591"/>
    </row>
    <row r="40" spans="1:49" x14ac:dyDescent="0.2">
      <c r="A40" s="438"/>
      <c r="B40" s="601">
        <f>'FORMATO PROPUESTA ECONÓMICA'!A42</f>
        <v>6.1</v>
      </c>
      <c r="C40" s="602" t="str">
        <f>'FORMATO PROPUESTA ECONÓMICA'!B42</f>
        <v>Tee PEAD PN10 d=200x200mmTermofusion</v>
      </c>
      <c r="D40" s="601" t="str">
        <f>'FORMATO PROPUESTA ECONÓMICA'!C42</f>
        <v>und</v>
      </c>
      <c r="E40" s="601">
        <f>'FORMATO PROPUESTA ECONÓMICA'!D42</f>
        <v>9</v>
      </c>
      <c r="F40" s="584"/>
      <c r="G40" s="584"/>
      <c r="H40" s="584"/>
      <c r="I40" s="584"/>
      <c r="J40" s="584"/>
      <c r="K40" s="584"/>
      <c r="L40" s="584"/>
      <c r="M40" s="584"/>
      <c r="N40" s="584"/>
      <c r="O40" s="584"/>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4"/>
      <c r="AN40" s="584"/>
      <c r="AO40" s="584"/>
      <c r="AP40" s="584"/>
      <c r="AQ40" s="584"/>
      <c r="AR40" s="584"/>
      <c r="AS40" s="584"/>
      <c r="AT40" s="584"/>
      <c r="AU40" s="584"/>
      <c r="AV40" s="584"/>
      <c r="AW40" s="584"/>
    </row>
    <row r="41" spans="1:49" s="558" customFormat="1" x14ac:dyDescent="0.2">
      <c r="A41" s="438"/>
      <c r="B41" s="601">
        <f>'FORMATO PROPUESTA ECONÓMICA'!A43</f>
        <v>6.11</v>
      </c>
      <c r="C41" s="610" t="str">
        <f>'FORMATO PROPUESTA ECONÓMICA'!B43</f>
        <v>Tee PEAD PN10 d=110x90x110mm Termofusion</v>
      </c>
      <c r="D41" s="611" t="str">
        <f>'FORMATO PROPUESTA ECONÓMICA'!C43</f>
        <v>und</v>
      </c>
      <c r="E41" s="611">
        <f>'FORMATO PROPUESTA ECONÓMICA'!D43</f>
        <v>59</v>
      </c>
      <c r="F41" s="612"/>
      <c r="G41" s="584"/>
      <c r="H41" s="584"/>
      <c r="I41" s="584"/>
      <c r="J41" s="584"/>
      <c r="K41" s="584"/>
      <c r="L41" s="584"/>
      <c r="M41" s="584"/>
      <c r="N41" s="584"/>
      <c r="O41" s="584"/>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4"/>
      <c r="AN41" s="584"/>
      <c r="AO41" s="584"/>
      <c r="AP41" s="584"/>
      <c r="AQ41" s="584"/>
      <c r="AR41" s="584"/>
      <c r="AS41" s="584"/>
      <c r="AT41" s="584"/>
      <c r="AU41" s="584"/>
      <c r="AV41" s="584"/>
      <c r="AW41" s="584"/>
    </row>
    <row r="42" spans="1:49" x14ac:dyDescent="0.2">
      <c r="A42" s="438"/>
      <c r="B42" s="601">
        <f>'FORMATO PROPUESTA ECONÓMICA'!A45</f>
        <v>6.13</v>
      </c>
      <c r="C42" s="610" t="str">
        <f>'FORMATO PROPUESTA ECONÓMICA'!B45</f>
        <v>Tee PEAD PN10 d= 90x63x90 Termofusion</v>
      </c>
      <c r="D42" s="611" t="str">
        <f>'FORMATO PROPUESTA ECONÓMICA'!C45</f>
        <v>und</v>
      </c>
      <c r="E42" s="611">
        <f>'FORMATO PROPUESTA ECONÓMICA'!D45</f>
        <v>50</v>
      </c>
      <c r="F42" s="612"/>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3"/>
      <c r="AJ42" s="583"/>
      <c r="AK42" s="584"/>
      <c r="AL42" s="584"/>
      <c r="AM42" s="584"/>
      <c r="AN42" s="584"/>
      <c r="AO42" s="584"/>
      <c r="AP42" s="584"/>
      <c r="AQ42" s="584"/>
      <c r="AR42" s="584"/>
      <c r="AS42" s="584"/>
      <c r="AT42" s="584"/>
      <c r="AU42" s="584"/>
      <c r="AV42" s="584"/>
      <c r="AW42" s="584"/>
    </row>
    <row r="43" spans="1:49" ht="15" x14ac:dyDescent="0.25">
      <c r="A43" s="438"/>
      <c r="B43" s="601">
        <f>'FORMATO PROPUESTA ECONÓMICA'!A46</f>
        <v>6.14</v>
      </c>
      <c r="C43" s="610" t="str">
        <f>'FORMATO PROPUESTA ECONÓMICA'!B46</f>
        <v>Codo PEAD PN10 d= 63mmx90° Termofusion</v>
      </c>
      <c r="D43" s="611" t="str">
        <f>'FORMATO PROPUESTA ECONÓMICA'!C46</f>
        <v>und</v>
      </c>
      <c r="E43" s="611">
        <f>'FORMATO PROPUESTA ECONÓMICA'!D46</f>
        <v>180</v>
      </c>
      <c r="F43" s="612"/>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3"/>
      <c r="AJ43" s="583"/>
      <c r="AK43" s="584"/>
      <c r="AL43" s="584"/>
      <c r="AM43" s="584"/>
      <c r="AN43" s="584"/>
      <c r="AO43" s="584"/>
      <c r="AP43" s="589"/>
      <c r="AQ43" s="589"/>
      <c r="AR43" s="589"/>
      <c r="AS43" s="589"/>
      <c r="AT43" s="589"/>
      <c r="AU43" s="589"/>
      <c r="AV43" s="589"/>
      <c r="AW43" s="589"/>
    </row>
    <row r="44" spans="1:49" s="606" customFormat="1" x14ac:dyDescent="0.2">
      <c r="A44" s="563"/>
      <c r="B44" s="611">
        <f>'FORMATO PROPUESTA ECONÓMICA'!A47</f>
        <v>6.15</v>
      </c>
      <c r="C44" s="610" t="str">
        <f>'FORMATO PROPUESTA ECONÓMICA'!B47</f>
        <v>Codo PEAD PN10 d= 90mmx90° Termofusion</v>
      </c>
      <c r="D44" s="611" t="str">
        <f>'FORMATO PROPUESTA ECONÓMICA'!C47</f>
        <v>und</v>
      </c>
      <c r="E44" s="611">
        <f>'FORMATO PROPUESTA ECONÓMICA'!D47</f>
        <v>10</v>
      </c>
      <c r="F44" s="612"/>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3"/>
      <c r="AE44" s="583"/>
      <c r="AF44" s="583"/>
      <c r="AG44" s="583"/>
      <c r="AH44" s="583"/>
      <c r="AI44" s="583"/>
      <c r="AJ44" s="584"/>
      <c r="AK44" s="584"/>
      <c r="AL44" s="584"/>
      <c r="AM44" s="584"/>
      <c r="AN44" s="584"/>
      <c r="AO44" s="584"/>
      <c r="AP44" s="605"/>
      <c r="AQ44" s="605"/>
      <c r="AR44" s="605"/>
      <c r="AS44" s="605"/>
      <c r="AT44" s="605"/>
      <c r="AU44" s="605"/>
      <c r="AV44" s="605"/>
      <c r="AW44" s="605"/>
    </row>
    <row r="45" spans="1:49" x14ac:dyDescent="0.2">
      <c r="A45" s="438"/>
      <c r="B45" s="601">
        <f>'FORMATO PROPUESTA ECONÓMICA'!A48</f>
        <v>6.16</v>
      </c>
      <c r="C45" s="610" t="str">
        <f>'FORMATO PROPUESTA ECONÓMICA'!B48</f>
        <v>Codo PEAD PN10 d= 110mmx90° Termofusion</v>
      </c>
      <c r="D45" s="611" t="str">
        <f>'FORMATO PROPUESTA ECONÓMICA'!C48</f>
        <v>und</v>
      </c>
      <c r="E45" s="611">
        <f>'FORMATO PROPUESTA ECONÓMICA'!D48</f>
        <v>24</v>
      </c>
      <c r="F45" s="612"/>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3"/>
      <c r="AE45" s="583"/>
      <c r="AF45" s="583"/>
      <c r="AG45" s="583"/>
      <c r="AH45" s="583"/>
      <c r="AI45" s="583"/>
      <c r="AJ45" s="584"/>
      <c r="AK45" s="584"/>
      <c r="AL45" s="584"/>
      <c r="AM45" s="584"/>
      <c r="AN45" s="584"/>
      <c r="AO45" s="584"/>
      <c r="AP45" s="587"/>
      <c r="AQ45" s="587"/>
      <c r="AR45" s="587"/>
      <c r="AS45" s="587"/>
      <c r="AT45" s="587"/>
      <c r="AU45" s="587"/>
      <c r="AV45" s="587"/>
      <c r="AW45" s="587"/>
    </row>
    <row r="46" spans="1:49" s="558" customFormat="1" x14ac:dyDescent="0.2">
      <c r="A46" s="438"/>
      <c r="B46" s="601">
        <f>'FORMATO PROPUESTA ECONÓMICA'!A49</f>
        <v>6.17</v>
      </c>
      <c r="C46" s="610" t="str">
        <f>'FORMATO PROPUESTA ECONÓMICA'!B49</f>
        <v>Tapon PEAD PN10 d= 90mm Termofusion</v>
      </c>
      <c r="D46" s="611" t="str">
        <f>'FORMATO PROPUESTA ECONÓMICA'!C49</f>
        <v>und</v>
      </c>
      <c r="E46" s="611">
        <f>'FORMATO PROPUESTA ECONÓMICA'!D49</f>
        <v>34</v>
      </c>
      <c r="F46" s="612"/>
      <c r="G46" s="584"/>
      <c r="H46" s="584"/>
      <c r="I46" s="584"/>
      <c r="J46" s="584"/>
      <c r="K46" s="584"/>
      <c r="L46" s="584"/>
      <c r="M46" s="584"/>
      <c r="N46" s="584"/>
      <c r="O46" s="584"/>
      <c r="P46" s="584"/>
      <c r="Q46" s="584"/>
      <c r="R46" s="584"/>
      <c r="S46" s="584"/>
      <c r="T46" s="584"/>
      <c r="U46" s="584"/>
      <c r="V46" s="584"/>
      <c r="W46" s="584"/>
      <c r="X46" s="584"/>
      <c r="Y46" s="584"/>
      <c r="Z46" s="583"/>
      <c r="AA46" s="583"/>
      <c r="AB46" s="583"/>
      <c r="AC46" s="583"/>
      <c r="AD46" s="583"/>
      <c r="AE46" s="587"/>
      <c r="AF46" s="587"/>
      <c r="AG46" s="587"/>
      <c r="AH46" s="587"/>
      <c r="AI46" s="587"/>
      <c r="AJ46" s="587"/>
      <c r="AK46" s="587"/>
      <c r="AL46" s="587"/>
      <c r="AM46" s="587"/>
      <c r="AN46" s="587"/>
      <c r="AO46" s="587"/>
      <c r="AP46" s="153"/>
      <c r="AQ46" s="153"/>
      <c r="AR46" s="153"/>
      <c r="AS46" s="153"/>
      <c r="AT46" s="153"/>
      <c r="AU46" s="153"/>
      <c r="AV46" s="153"/>
      <c r="AW46" s="153"/>
    </row>
    <row r="47" spans="1:49" x14ac:dyDescent="0.2">
      <c r="A47" s="153"/>
      <c r="B47" s="601">
        <f>'FORMATO PROPUESTA ECONÓMICA'!A50</f>
        <v>6.18</v>
      </c>
      <c r="C47" s="602" t="str">
        <f>'FORMATO PROPUESTA ECONÓMICA'!B50</f>
        <v>Tee PEAD PN10 d= 200x90x200 Termofusion</v>
      </c>
      <c r="D47" s="601" t="str">
        <f>'FORMATO PROPUESTA ECONÓMICA'!C50</f>
        <v>und</v>
      </c>
      <c r="E47" s="601">
        <f>'FORMATO PROPUESTA ECONÓMICA'!D50</f>
        <v>18</v>
      </c>
      <c r="F47" s="584"/>
      <c r="G47" s="583"/>
      <c r="H47" s="583"/>
      <c r="I47" s="583"/>
      <c r="J47" s="583"/>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row>
    <row r="48" spans="1:49" x14ac:dyDescent="0.2">
      <c r="A48" s="438"/>
      <c r="B48" s="601">
        <f>'FORMATO PROPUESTA ECONÓMICA'!A51</f>
        <v>6.19</v>
      </c>
      <c r="C48" s="602" t="str">
        <f>'FORMATO PROPUESTA ECONÓMICA'!B51</f>
        <v>Reduccion PEAD PN10 de 110mm a 90mm Termofusion</v>
      </c>
      <c r="D48" s="601" t="str">
        <f>'FORMATO PROPUESTA ECONÓMICA'!C51</f>
        <v>und</v>
      </c>
      <c r="E48" s="601">
        <f>'FORMATO PROPUESTA ECONÓMICA'!D51</f>
        <v>8</v>
      </c>
      <c r="F48" s="584"/>
      <c r="G48" s="584"/>
      <c r="H48" s="584"/>
      <c r="I48" s="584"/>
      <c r="J48" s="584"/>
      <c r="K48" s="584"/>
      <c r="L48" s="584"/>
      <c r="M48" s="584"/>
      <c r="N48" s="584"/>
      <c r="O48" s="584"/>
      <c r="P48" s="584"/>
      <c r="Q48" s="584"/>
      <c r="R48" s="584"/>
      <c r="S48" s="584"/>
      <c r="T48" s="584"/>
      <c r="U48" s="584"/>
      <c r="V48" s="584"/>
      <c r="W48" s="584"/>
      <c r="X48" s="584"/>
      <c r="Y48" s="584"/>
      <c r="Z48" s="584"/>
      <c r="AA48" s="583"/>
      <c r="AB48" s="583"/>
      <c r="AC48" s="583"/>
      <c r="AD48" s="583"/>
      <c r="AE48" s="584"/>
      <c r="AF48" s="584"/>
      <c r="AG48" s="584"/>
      <c r="AH48" s="584"/>
      <c r="AI48" s="584"/>
      <c r="AJ48" s="584"/>
      <c r="AK48" s="584"/>
      <c r="AL48" s="584"/>
      <c r="AM48" s="584"/>
      <c r="AN48" s="584"/>
      <c r="AO48" s="584"/>
      <c r="AP48" s="584"/>
      <c r="AQ48" s="584"/>
      <c r="AR48" s="584"/>
      <c r="AS48" s="584"/>
      <c r="AT48" s="584"/>
      <c r="AU48" s="584"/>
      <c r="AV48" s="584"/>
      <c r="AW48" s="584"/>
    </row>
    <row r="49" spans="1:49" s="558" customFormat="1" x14ac:dyDescent="0.2">
      <c r="A49" s="438"/>
      <c r="B49" s="601">
        <f>'FORMATO PROPUESTA ECONÓMICA'!A52</f>
        <v>6.2</v>
      </c>
      <c r="C49" s="602" t="str">
        <f>'FORMATO PROPUESTA ECONÓMICA'!B52</f>
        <v>Reduccion PEAD PN10 de 160mm a 90mm Termofusion</v>
      </c>
      <c r="D49" s="601" t="str">
        <f>'FORMATO PROPUESTA ECONÓMICA'!C52</f>
        <v>und</v>
      </c>
      <c r="E49" s="601">
        <f>'FORMATO PROPUESTA ECONÓMICA'!D52</f>
        <v>1</v>
      </c>
      <c r="F49" s="584"/>
      <c r="G49" s="584"/>
      <c r="H49" s="584"/>
      <c r="I49" s="584"/>
      <c r="J49" s="584"/>
      <c r="K49" s="584"/>
      <c r="L49" s="584"/>
      <c r="M49" s="584"/>
      <c r="N49" s="584"/>
      <c r="O49" s="584"/>
      <c r="P49" s="584"/>
      <c r="Q49" s="584"/>
      <c r="R49" s="584"/>
      <c r="S49" s="584"/>
      <c r="T49" s="584"/>
      <c r="U49" s="584"/>
      <c r="V49" s="584"/>
      <c r="W49" s="584"/>
      <c r="X49" s="584"/>
      <c r="Y49" s="584"/>
      <c r="Z49" s="584"/>
      <c r="AA49" s="584"/>
      <c r="AB49" s="584"/>
      <c r="AC49" s="584"/>
      <c r="AD49" s="584"/>
      <c r="AE49" s="584"/>
      <c r="AF49" s="584"/>
      <c r="AG49" s="583"/>
      <c r="AH49" s="584"/>
      <c r="AI49" s="584"/>
      <c r="AJ49" s="584"/>
      <c r="AK49" s="584"/>
      <c r="AL49" s="584"/>
      <c r="AM49" s="584"/>
      <c r="AN49" s="584"/>
      <c r="AO49" s="584"/>
      <c r="AP49" s="584"/>
      <c r="AQ49" s="584"/>
      <c r="AR49" s="584"/>
      <c r="AS49" s="584"/>
      <c r="AT49" s="584"/>
      <c r="AU49" s="584"/>
      <c r="AV49" s="584"/>
      <c r="AW49" s="584"/>
    </row>
    <row r="50" spans="1:49" ht="15" x14ac:dyDescent="0.25">
      <c r="A50" s="438"/>
      <c r="B50" s="601">
        <f>'FORMATO PROPUESTA ECONÓMICA'!A53</f>
        <v>6.21</v>
      </c>
      <c r="C50" s="602" t="str">
        <f>'FORMATO PROPUESTA ECONÓMICA'!B53</f>
        <v>Reduccion PEAD PN10 de 200mm a 110mm Termofusion</v>
      </c>
      <c r="D50" s="601" t="str">
        <f>'FORMATO PROPUESTA ECONÓMICA'!C53</f>
        <v>und</v>
      </c>
      <c r="E50" s="601">
        <f>'FORMATO PROPUESTA ECONÓMICA'!D53</f>
        <v>3</v>
      </c>
      <c r="F50" s="584"/>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156"/>
      <c r="AL50" s="156"/>
      <c r="AM50" s="156"/>
      <c r="AN50" s="156"/>
      <c r="AO50" s="156"/>
      <c r="AP50" s="583"/>
      <c r="AQ50" s="583"/>
      <c r="AR50" s="583"/>
      <c r="AS50" s="583"/>
      <c r="AT50" s="583"/>
      <c r="AU50" s="583"/>
      <c r="AV50" s="583"/>
      <c r="AW50" s="583"/>
    </row>
    <row r="51" spans="1:49" ht="15" x14ac:dyDescent="0.25">
      <c r="A51" s="438"/>
      <c r="B51" s="601">
        <f>'FORMATO PROPUESTA ECONÓMICA'!A54</f>
        <v>6.22</v>
      </c>
      <c r="C51" s="602" t="str">
        <f>'FORMATO PROPUESTA ECONÓMICA'!B54</f>
        <v>Reduccion PEAD PN10 de 200mm a 160mm Termofusion</v>
      </c>
      <c r="D51" s="601" t="str">
        <f>'FORMATO PROPUESTA ECONÓMICA'!C54</f>
        <v>und</v>
      </c>
      <c r="E51" s="601">
        <f>'FORMATO PROPUESTA ECONÓMICA'!D54</f>
        <v>3</v>
      </c>
      <c r="F51" s="584"/>
      <c r="G51" s="583"/>
      <c r="H51" s="583"/>
      <c r="I51" s="583"/>
      <c r="J51" s="583"/>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156"/>
      <c r="AK51" s="156"/>
      <c r="AL51" s="587"/>
      <c r="AM51" s="587"/>
      <c r="AN51" s="587"/>
      <c r="AO51" s="587"/>
      <c r="AP51" s="587"/>
      <c r="AQ51" s="587"/>
      <c r="AR51" s="583"/>
      <c r="AS51" s="587"/>
      <c r="AT51" s="587"/>
      <c r="AU51" s="587"/>
      <c r="AV51" s="587"/>
      <c r="AW51" s="587"/>
    </row>
    <row r="52" spans="1:49" s="558" customFormat="1" ht="15" x14ac:dyDescent="0.25">
      <c r="A52" s="438"/>
      <c r="B52" s="601">
        <f>'FORMATO PROPUESTA ECONÓMICA'!A55</f>
        <v>6.23</v>
      </c>
      <c r="C52" s="602" t="str">
        <f>'FORMATO PROPUESTA ECONÓMICA'!B55</f>
        <v>Portabrida PEAD PN10 d= 63mm</v>
      </c>
      <c r="D52" s="601" t="str">
        <f>'FORMATO PROPUESTA ECONÓMICA'!C55</f>
        <v>und</v>
      </c>
      <c r="E52" s="601">
        <f>'FORMATO PROPUESTA ECONÓMICA'!D55</f>
        <v>480</v>
      </c>
      <c r="F52" s="584"/>
      <c r="G52" s="584"/>
      <c r="H52" s="584"/>
      <c r="I52" s="584"/>
      <c r="J52" s="584"/>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156"/>
      <c r="AH52" s="156"/>
      <c r="AI52" s="153"/>
      <c r="AJ52" s="156"/>
      <c r="AK52" s="156"/>
      <c r="AL52" s="153"/>
      <c r="AM52" s="153"/>
      <c r="AN52" s="153"/>
      <c r="AO52" s="153"/>
      <c r="AP52" s="153"/>
      <c r="AQ52" s="153"/>
      <c r="AR52" s="584"/>
      <c r="AS52" s="153"/>
      <c r="AT52" s="153"/>
      <c r="AU52" s="153"/>
      <c r="AV52" s="153"/>
      <c r="AW52" s="153"/>
    </row>
    <row r="53" spans="1:49" ht="15" x14ac:dyDescent="0.25">
      <c r="A53" s="438"/>
      <c r="B53" s="601">
        <f>'FORMATO PROPUESTA ECONÓMICA'!A56</f>
        <v>6.24</v>
      </c>
      <c r="C53" s="602" t="str">
        <f>'FORMATO PROPUESTA ECONÓMICA'!B56</f>
        <v>Portabrida PEAD PN10 d= 90mm</v>
      </c>
      <c r="D53" s="601" t="str">
        <f>'FORMATO PROPUESTA ECONÓMICA'!C56</f>
        <v>und</v>
      </c>
      <c r="E53" s="601">
        <f>'FORMATO PROPUESTA ECONÓMICA'!D56</f>
        <v>138</v>
      </c>
      <c r="F53" s="584"/>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156"/>
      <c r="AK53" s="156"/>
      <c r="AL53" s="156"/>
      <c r="AM53" s="156"/>
      <c r="AN53" s="156"/>
      <c r="AO53" s="156"/>
      <c r="AP53" s="583"/>
      <c r="AQ53" s="583"/>
      <c r="AR53" s="583"/>
      <c r="AS53" s="583"/>
      <c r="AT53" s="583"/>
      <c r="AU53" s="583"/>
      <c r="AV53" s="583"/>
      <c r="AW53" s="583"/>
    </row>
    <row r="54" spans="1:49" s="558" customFormat="1" ht="15" x14ac:dyDescent="0.25">
      <c r="A54" s="438"/>
      <c r="B54" s="601">
        <f>'FORMATO PROPUESTA ECONÓMICA'!A57</f>
        <v>6.25</v>
      </c>
      <c r="C54" s="602" t="str">
        <f>'FORMATO PROPUESTA ECONÓMICA'!B57</f>
        <v>Portabrida PEAD PN10 d= 110mm</v>
      </c>
      <c r="D54" s="601" t="str">
        <f>'FORMATO PROPUESTA ECONÓMICA'!C57</f>
        <v>und</v>
      </c>
      <c r="E54" s="601">
        <f>'FORMATO PROPUESTA ECONÓMICA'!D57</f>
        <v>16</v>
      </c>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3"/>
      <c r="AF54" s="583"/>
      <c r="AG54" s="583"/>
      <c r="AH54" s="583"/>
      <c r="AI54" s="583"/>
      <c r="AJ54" s="156"/>
      <c r="AK54" s="156"/>
      <c r="AL54" s="584"/>
      <c r="AM54" s="584"/>
      <c r="AN54" s="584"/>
      <c r="AO54" s="584"/>
      <c r="AP54" s="584"/>
      <c r="AQ54" s="584"/>
      <c r="AR54" s="584"/>
      <c r="AS54" s="584"/>
      <c r="AT54" s="584"/>
      <c r="AU54" s="584"/>
      <c r="AV54" s="584"/>
      <c r="AW54" s="584"/>
    </row>
    <row r="55" spans="1:49" x14ac:dyDescent="0.2">
      <c r="A55" s="438"/>
      <c r="B55" s="601">
        <f>'FORMATO PROPUESTA ECONÓMICA'!A58</f>
        <v>6.26</v>
      </c>
      <c r="C55" s="602" t="str">
        <f>'FORMATO PROPUESTA ECONÓMICA'!B58</f>
        <v>Portabrida PEAD PN10 d= 160mm</v>
      </c>
      <c r="D55" s="601" t="str">
        <f>'FORMATO PROPUESTA ECONÓMICA'!C58</f>
        <v>und</v>
      </c>
      <c r="E55" s="601">
        <f>'FORMATO PROPUESTA ECONÓMICA'!D58</f>
        <v>2</v>
      </c>
      <c r="F55" s="584"/>
      <c r="G55" s="584"/>
      <c r="H55" s="584"/>
      <c r="I55" s="584"/>
      <c r="J55" s="584"/>
      <c r="K55" s="584"/>
      <c r="L55" s="584"/>
      <c r="M55" s="584"/>
      <c r="N55" s="584"/>
      <c r="O55" s="584"/>
      <c r="P55" s="584"/>
      <c r="Q55" s="584"/>
      <c r="R55" s="584"/>
      <c r="S55" s="584"/>
      <c r="T55" s="584"/>
      <c r="U55" s="584"/>
      <c r="V55" s="584"/>
      <c r="W55" s="584"/>
      <c r="X55" s="584"/>
      <c r="Y55" s="584"/>
      <c r="Z55" s="584"/>
      <c r="AA55" s="584"/>
      <c r="AB55" s="584"/>
      <c r="AC55" s="584"/>
      <c r="AD55" s="584"/>
      <c r="AE55" s="584"/>
      <c r="AF55" s="584"/>
      <c r="AG55" s="584"/>
      <c r="AH55" s="583"/>
      <c r="AI55" s="583"/>
      <c r="AJ55" s="584"/>
      <c r="AK55" s="584"/>
      <c r="AL55" s="584"/>
      <c r="AM55" s="584"/>
      <c r="AN55" s="584"/>
      <c r="AO55" s="584"/>
      <c r="AP55" s="584"/>
      <c r="AQ55" s="584"/>
      <c r="AR55" s="584"/>
      <c r="AS55" s="584"/>
      <c r="AT55" s="584"/>
      <c r="AU55" s="584"/>
      <c r="AV55" s="584"/>
      <c r="AW55" s="584"/>
    </row>
    <row r="56" spans="1:49" s="558" customFormat="1" ht="15" x14ac:dyDescent="0.25">
      <c r="A56" s="438"/>
      <c r="B56" s="601">
        <f>'FORMATO PROPUESTA ECONÓMICA'!A59</f>
        <v>6.27</v>
      </c>
      <c r="C56" s="602" t="str">
        <f>'FORMATO PROPUESTA ECONÓMICA'!B59</f>
        <v>Portabrida PEAD PN10 d= 200mm</v>
      </c>
      <c r="D56" s="601" t="str">
        <f>'FORMATO PROPUESTA ECONÓMICA'!C59</f>
        <v>und</v>
      </c>
      <c r="E56" s="601">
        <f>'FORMATO PROPUESTA ECONÓMICA'!D59</f>
        <v>18</v>
      </c>
      <c r="F56" s="156"/>
      <c r="G56" s="583"/>
      <c r="H56" s="583"/>
      <c r="I56" s="583"/>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row>
    <row r="57" spans="1:49" ht="15" x14ac:dyDescent="0.25">
      <c r="A57" s="438"/>
      <c r="B57" s="601">
        <f>'FORMATO PROPUESTA ECONÓMICA'!A60</f>
        <v>6.28</v>
      </c>
      <c r="C57" s="602" t="str">
        <f>'FORMATO PROPUESTA ECONÓMICA'!B60</f>
        <v>S.T.C. de Tee partida 8"x3", inclyue Tornilleria y tuberia de nivelacion</v>
      </c>
      <c r="D57" s="601" t="str">
        <f>'FORMATO PROPUESTA ECONÓMICA'!C60</f>
        <v>und</v>
      </c>
      <c r="E57" s="601">
        <f>'FORMATO PROPUESTA ECONÓMICA'!D60</f>
        <v>7</v>
      </c>
      <c r="F57" s="156"/>
      <c r="G57" s="156"/>
      <c r="H57" s="156"/>
      <c r="I57" s="156"/>
      <c r="J57" s="156"/>
      <c r="K57" s="156"/>
      <c r="L57" s="156"/>
      <c r="M57" s="156"/>
      <c r="N57" s="156"/>
      <c r="O57" s="156"/>
      <c r="P57" s="583"/>
      <c r="Q57" s="583"/>
      <c r="R57" s="583"/>
      <c r="S57" s="583"/>
      <c r="T57" s="583"/>
      <c r="U57" s="583"/>
      <c r="V57" s="584"/>
      <c r="W57" s="584"/>
      <c r="X57" s="584"/>
      <c r="Y57" s="584"/>
      <c r="Z57" s="584"/>
      <c r="AA57" s="584"/>
      <c r="AB57" s="584"/>
      <c r="AC57" s="584"/>
      <c r="AD57" s="584"/>
      <c r="AE57" s="584"/>
      <c r="AF57" s="584"/>
      <c r="AG57" s="584"/>
      <c r="AH57" s="584"/>
      <c r="AI57" s="584"/>
      <c r="AJ57" s="584"/>
      <c r="AK57" s="584"/>
      <c r="AL57" s="584"/>
      <c r="AM57" s="584"/>
      <c r="AN57" s="584"/>
      <c r="AO57" s="584"/>
      <c r="AP57" s="584"/>
      <c r="AQ57" s="584"/>
      <c r="AR57" s="584"/>
      <c r="AS57" s="584"/>
      <c r="AT57" s="584"/>
      <c r="AU57" s="584"/>
      <c r="AV57" s="584"/>
      <c r="AW57" s="584"/>
    </row>
    <row r="58" spans="1:49" s="558" customFormat="1" ht="15" x14ac:dyDescent="0.25">
      <c r="A58" s="438"/>
      <c r="B58" s="601">
        <f>'FORMATO PROPUESTA ECONÓMICA'!A61</f>
        <v>6.29</v>
      </c>
      <c r="C58" s="602" t="str">
        <f>'FORMATO PROPUESTA ECONÓMICA'!B61</f>
        <v>S.T.C. de Tee partida 8"x4", inclyue Tornilleria y tuberia de nivelacion</v>
      </c>
      <c r="D58" s="601" t="str">
        <f>'FORMATO PROPUESTA ECONÓMICA'!C61</f>
        <v>und</v>
      </c>
      <c r="E58" s="601">
        <f>'FORMATO PROPUESTA ECONÓMICA'!D61</f>
        <v>3</v>
      </c>
      <c r="F58" s="584"/>
      <c r="G58" s="583"/>
      <c r="H58" s="583"/>
      <c r="I58" s="583"/>
      <c r="J58" s="583"/>
      <c r="K58" s="156"/>
      <c r="L58" s="156"/>
      <c r="M58" s="156"/>
      <c r="N58" s="156"/>
      <c r="O58" s="156"/>
      <c r="P58" s="156"/>
      <c r="Q58" s="156"/>
      <c r="R58" s="156"/>
      <c r="S58" s="156"/>
      <c r="T58" s="156"/>
      <c r="U58" s="156"/>
      <c r="V58" s="156"/>
      <c r="W58" s="584"/>
      <c r="X58" s="584"/>
      <c r="Y58" s="584"/>
      <c r="Z58" s="584"/>
      <c r="AA58" s="584"/>
      <c r="AB58" s="584"/>
      <c r="AC58" s="584"/>
      <c r="AD58" s="584"/>
      <c r="AE58" s="584"/>
      <c r="AF58" s="584"/>
      <c r="AG58" s="584"/>
      <c r="AH58" s="584"/>
      <c r="AI58" s="584"/>
      <c r="AJ58" s="584"/>
      <c r="AK58" s="584"/>
      <c r="AL58" s="584"/>
      <c r="AM58" s="584"/>
      <c r="AN58" s="584"/>
      <c r="AO58" s="584"/>
      <c r="AP58" s="584"/>
      <c r="AQ58" s="584"/>
      <c r="AR58" s="584"/>
      <c r="AS58" s="584"/>
      <c r="AT58" s="584"/>
      <c r="AU58" s="584"/>
      <c r="AV58" s="584"/>
      <c r="AW58" s="584"/>
    </row>
    <row r="59" spans="1:49" ht="15" x14ac:dyDescent="0.25">
      <c r="A59" s="33"/>
      <c r="B59" s="603">
        <f>'FORMATO PROPUESTA ECONÓMICA'!A62</f>
        <v>7</v>
      </c>
      <c r="C59" s="604" t="str">
        <f>'FORMATO PROPUESTA ECONÓMICA'!B62</f>
        <v>TRANSPORTE Y COLOCACIÓN DE ACCESORIO PARA ACOMETIDAS</v>
      </c>
      <c r="D59" s="603">
        <f>'FORMATO PROPUESTA ECONÓMICA'!C62</f>
        <v>0</v>
      </c>
      <c r="E59" s="603"/>
      <c r="F59" s="585"/>
      <c r="G59" s="585"/>
      <c r="H59" s="585"/>
      <c r="I59" s="585"/>
      <c r="J59" s="585"/>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590"/>
      <c r="AH59" s="590"/>
      <c r="AI59" s="590"/>
      <c r="AJ59" s="590"/>
      <c r="AK59" s="590"/>
      <c r="AL59" s="590"/>
      <c r="AM59" s="590"/>
      <c r="AN59" s="590"/>
      <c r="AO59" s="590"/>
      <c r="AP59" s="584"/>
      <c r="AQ59" s="584"/>
      <c r="AR59" s="584"/>
      <c r="AS59" s="584"/>
      <c r="AT59" s="584"/>
      <c r="AU59" s="584"/>
      <c r="AV59" s="584"/>
      <c r="AW59" s="584"/>
    </row>
    <row r="60" spans="1:49" s="558" customFormat="1" x14ac:dyDescent="0.2">
      <c r="A60" s="438"/>
      <c r="B60" s="601">
        <f>'FORMATO PROPUESTA ECONÓMICA'!A63</f>
        <v>7.1</v>
      </c>
      <c r="C60" s="602" t="str">
        <f>'FORMATO PROPUESTA ECONÓMICA'!B63</f>
        <v>Tubería polietileno PN 10 d=20 mm, 140 PSI x 150 metros</v>
      </c>
      <c r="D60" s="601" t="str">
        <f>'FORMATO PROPUESTA ECONÓMICA'!C63</f>
        <v>m</v>
      </c>
      <c r="E60" s="601">
        <f>'FORMATO PROPUESTA ECONÓMICA'!D63</f>
        <v>23805</v>
      </c>
      <c r="F60" s="584"/>
      <c r="G60" s="584"/>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4"/>
      <c r="AQ60" s="584"/>
      <c r="AR60" s="584"/>
      <c r="AS60" s="584"/>
      <c r="AT60" s="584"/>
      <c r="AU60" s="584"/>
      <c r="AV60" s="584"/>
      <c r="AW60" s="584"/>
    </row>
    <row r="61" spans="1:49" ht="15" x14ac:dyDescent="0.25">
      <c r="A61" s="153"/>
      <c r="B61" s="601">
        <f>'FORMATO PROPUESTA ECONÓMICA'!A64</f>
        <v>7.2</v>
      </c>
      <c r="C61" s="602" t="str">
        <f>'FORMATO PROPUESTA ECONÓMICA'!B64</f>
        <v>Tubería polietileno PN 10 d=25 mm, 140 PSI x 150 metros</v>
      </c>
      <c r="D61" s="601" t="str">
        <f>'FORMATO PROPUESTA ECONÓMICA'!C64</f>
        <v>m</v>
      </c>
      <c r="E61" s="601">
        <f>'FORMATO PROPUESTA ECONÓMICA'!D64</f>
        <v>230</v>
      </c>
      <c r="F61" s="156"/>
      <c r="G61" s="583"/>
      <c r="H61" s="583"/>
      <c r="I61" s="583"/>
      <c r="J61" s="583"/>
      <c r="K61" s="153"/>
      <c r="L61" s="153"/>
      <c r="M61" s="153"/>
      <c r="N61" s="153"/>
      <c r="O61" s="153"/>
      <c r="P61" s="153"/>
      <c r="Q61" s="153"/>
      <c r="R61" s="153"/>
      <c r="S61" s="153"/>
      <c r="T61" s="153"/>
      <c r="U61" s="153"/>
      <c r="V61" s="153"/>
      <c r="W61" s="153"/>
      <c r="X61" s="153"/>
      <c r="Y61" s="153"/>
      <c r="Z61" s="153"/>
      <c r="AA61" s="153"/>
      <c r="AB61" s="153"/>
      <c r="AC61" s="583"/>
      <c r="AD61" s="583"/>
      <c r="AE61" s="583"/>
      <c r="AF61" s="153"/>
      <c r="AG61" s="153"/>
      <c r="AH61" s="153"/>
      <c r="AI61" s="153"/>
      <c r="AJ61" s="153"/>
      <c r="AK61" s="153"/>
      <c r="AL61" s="153"/>
      <c r="AM61" s="153"/>
      <c r="AN61" s="153"/>
      <c r="AO61" s="153"/>
      <c r="AP61" s="153"/>
      <c r="AQ61" s="153"/>
      <c r="AR61" s="153"/>
      <c r="AS61" s="153"/>
      <c r="AT61" s="153"/>
      <c r="AU61" s="153"/>
      <c r="AV61" s="153"/>
      <c r="AW61" s="153"/>
    </row>
    <row r="62" spans="1:49" ht="15" x14ac:dyDescent="0.25">
      <c r="A62" s="176"/>
      <c r="B62" s="601">
        <f>'FORMATO PROPUESTA ECONÓMICA'!A65</f>
        <v>7.3</v>
      </c>
      <c r="C62" s="602" t="str">
        <f>'FORMATO PROPUESTA ECONÓMICA'!B65</f>
        <v>Silleta socket PN 10, agua de 63 mm con salida 20 mm</v>
      </c>
      <c r="D62" s="601" t="str">
        <f>'FORMATO PROPUESTA ECONÓMICA'!C65</f>
        <v>und</v>
      </c>
      <c r="E62" s="601">
        <f>'FORMATO PROPUESTA ECONÓMICA'!D65</f>
        <v>1963</v>
      </c>
      <c r="F62" s="156"/>
      <c r="G62" s="156"/>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row>
    <row r="63" spans="1:49" s="558" customFormat="1" ht="15" x14ac:dyDescent="0.25">
      <c r="A63" s="176"/>
      <c r="B63" s="601">
        <f>'FORMATO PROPUESTA ECONÓMICA'!A66</f>
        <v>7.4</v>
      </c>
      <c r="C63" s="602" t="str">
        <f>'FORMATO PROPUESTA ECONÓMICA'!B66</f>
        <v>Silleta socket PN 10, agua de 63 mm con salida 25 mm</v>
      </c>
      <c r="D63" s="601" t="str">
        <f>'FORMATO PROPUESTA ECONÓMICA'!C66</f>
        <v>und</v>
      </c>
      <c r="E63" s="601">
        <f>'FORMATO PROPUESTA ECONÓMICA'!D66</f>
        <v>10</v>
      </c>
      <c r="F63" s="156"/>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c r="AE63" s="584"/>
      <c r="AF63" s="583"/>
      <c r="AG63" s="583"/>
      <c r="AH63" s="583"/>
      <c r="AI63" s="583"/>
      <c r="AJ63" s="584"/>
      <c r="AK63" s="584"/>
      <c r="AL63" s="584"/>
      <c r="AM63" s="584"/>
      <c r="AN63" s="584"/>
      <c r="AO63" s="584"/>
      <c r="AP63" s="584"/>
      <c r="AQ63" s="584"/>
      <c r="AR63" s="584"/>
      <c r="AS63" s="584"/>
      <c r="AT63" s="584"/>
      <c r="AU63" s="584"/>
      <c r="AV63" s="584"/>
      <c r="AW63" s="584"/>
    </row>
    <row r="64" spans="1:49" ht="15" x14ac:dyDescent="0.25">
      <c r="A64" s="176"/>
      <c r="B64" s="601">
        <f>'FORMATO PROPUESTA ECONÓMICA'!A67</f>
        <v>7.5</v>
      </c>
      <c r="C64" s="602" t="str">
        <f>'FORMATO PROPUESTA ECONÓMICA'!B67</f>
        <v>Silleta socket PN 10, agua de 90mm con salida 20 mm</v>
      </c>
      <c r="D64" s="601" t="str">
        <f>'FORMATO PROPUESTA ECONÓMICA'!C67</f>
        <v>und</v>
      </c>
      <c r="E64" s="601">
        <f>'FORMATO PROPUESTA ECONÓMICA'!D67</f>
        <v>2725</v>
      </c>
      <c r="F64" s="582"/>
      <c r="G64" s="582"/>
      <c r="H64" s="582"/>
      <c r="I64" s="582"/>
      <c r="J64" s="582"/>
      <c r="K64" s="582"/>
      <c r="L64" s="582"/>
      <c r="M64" s="582"/>
      <c r="N64" s="582"/>
      <c r="O64" s="582"/>
      <c r="P64" s="583"/>
      <c r="Q64" s="583"/>
      <c r="R64" s="583"/>
      <c r="S64" s="583"/>
      <c r="T64" s="583"/>
      <c r="U64" s="583"/>
      <c r="V64" s="583"/>
      <c r="W64" s="583"/>
      <c r="X64" s="583"/>
      <c r="Y64" s="583"/>
      <c r="Z64" s="583"/>
      <c r="AA64" s="583"/>
      <c r="AB64" s="583"/>
      <c r="AC64" s="583"/>
      <c r="AD64" s="583"/>
      <c r="AE64" s="583"/>
      <c r="AF64" s="583"/>
      <c r="AG64" s="583"/>
      <c r="AH64" s="583"/>
      <c r="AI64" s="583"/>
      <c r="AJ64" s="583"/>
      <c r="AK64" s="583"/>
      <c r="AL64" s="583"/>
      <c r="AM64" s="584"/>
      <c r="AN64" s="584"/>
      <c r="AO64" s="584"/>
      <c r="AP64" s="583"/>
      <c r="AQ64" s="583"/>
      <c r="AR64" s="583"/>
      <c r="AS64" s="583"/>
      <c r="AT64" s="583"/>
      <c r="AU64" s="583"/>
      <c r="AV64" s="583"/>
      <c r="AW64" s="583"/>
    </row>
    <row r="65" spans="1:49" s="558" customFormat="1" ht="15" x14ac:dyDescent="0.25">
      <c r="A65" s="176"/>
      <c r="B65" s="601">
        <f>'FORMATO PROPUESTA ECONÓMICA'!A68</f>
        <v>7.6</v>
      </c>
      <c r="C65" s="602" t="str">
        <f>'FORMATO PROPUESTA ECONÓMICA'!B68</f>
        <v>Silleta socket PN 10, agua de 90mm con salida 25 mm</v>
      </c>
      <c r="D65" s="601" t="str">
        <f>'FORMATO PROPUESTA ECONÓMICA'!C68</f>
        <v>und</v>
      </c>
      <c r="E65" s="601">
        <f>'FORMATO PROPUESTA ECONÓMICA'!D68</f>
        <v>30</v>
      </c>
      <c r="F65" s="156"/>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c r="AE65" s="584"/>
      <c r="AF65" s="584"/>
      <c r="AG65" s="584"/>
      <c r="AH65" s="584"/>
      <c r="AI65" s="584"/>
      <c r="AJ65" s="584"/>
      <c r="AK65" s="583"/>
      <c r="AL65" s="583"/>
      <c r="AM65" s="584"/>
      <c r="AN65" s="584"/>
      <c r="AO65" s="584"/>
      <c r="AP65" s="584"/>
      <c r="AQ65" s="584"/>
      <c r="AR65" s="584"/>
      <c r="AS65" s="584"/>
      <c r="AT65" s="584"/>
      <c r="AU65" s="584"/>
      <c r="AV65" s="584"/>
      <c r="AW65" s="584"/>
    </row>
    <row r="66" spans="1:49" ht="15" x14ac:dyDescent="0.25">
      <c r="A66" s="176"/>
      <c r="B66" s="601">
        <f>'FORMATO PROPUESTA ECONÓMICA'!A69</f>
        <v>7.7</v>
      </c>
      <c r="C66" s="602" t="str">
        <f>'FORMATO PROPUESTA ECONÓMICA'!B69</f>
        <v>Silleta socket PN 10, agua de 110mm con salida 20 mm</v>
      </c>
      <c r="D66" s="601" t="str">
        <f>'FORMATO PROPUESTA ECONÓMICA'!C69</f>
        <v>und</v>
      </c>
      <c r="E66" s="601">
        <f>'FORMATO PROPUESTA ECONÓMICA'!D69</f>
        <v>331</v>
      </c>
      <c r="F66" s="582"/>
      <c r="G66" s="584"/>
      <c r="H66" s="584"/>
      <c r="I66" s="584"/>
      <c r="J66" s="584"/>
      <c r="K66" s="584"/>
      <c r="L66" s="584"/>
      <c r="M66" s="584"/>
      <c r="N66" s="584"/>
      <c r="O66" s="584"/>
      <c r="P66" s="584"/>
      <c r="Q66" s="584"/>
      <c r="R66" s="583"/>
      <c r="S66" s="583"/>
      <c r="T66" s="583"/>
      <c r="U66" s="583"/>
      <c r="V66" s="583"/>
      <c r="W66" s="583"/>
      <c r="X66" s="583"/>
      <c r="Y66" s="583"/>
      <c r="Z66" s="583"/>
      <c r="AA66" s="583"/>
      <c r="AB66" s="583"/>
      <c r="AC66" s="583"/>
      <c r="AD66" s="583"/>
      <c r="AE66" s="583"/>
      <c r="AF66" s="583"/>
      <c r="AG66" s="583"/>
      <c r="AH66" s="583"/>
      <c r="AI66" s="584"/>
      <c r="AJ66" s="584"/>
      <c r="AK66" s="584"/>
      <c r="AL66" s="584"/>
      <c r="AM66" s="584"/>
      <c r="AN66" s="584"/>
      <c r="AO66" s="584"/>
      <c r="AP66" s="584"/>
      <c r="AQ66" s="584"/>
      <c r="AR66" s="584"/>
      <c r="AS66" s="584"/>
      <c r="AT66" s="584"/>
      <c r="AU66" s="584"/>
      <c r="AV66" s="584"/>
      <c r="AW66" s="584"/>
    </row>
    <row r="67" spans="1:49" s="558" customFormat="1" ht="15" x14ac:dyDescent="0.25">
      <c r="A67" s="176"/>
      <c r="B67" s="601">
        <f>'FORMATO PROPUESTA ECONÓMICA'!A70</f>
        <v>7.8</v>
      </c>
      <c r="C67" s="602" t="str">
        <f>'FORMATO PROPUESTA ECONÓMICA'!B70</f>
        <v xml:space="preserve">Adaptador polietileno hembra y/o macho 1/2" 20 mm </v>
      </c>
      <c r="D67" s="601" t="str">
        <f>'FORMATO PROPUESTA ECONÓMICA'!C70</f>
        <v>und</v>
      </c>
      <c r="E67" s="601">
        <f>'FORMATO PROPUESTA ECONÓMICA'!D70</f>
        <v>4960</v>
      </c>
      <c r="F67" s="582"/>
      <c r="G67" s="584"/>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4"/>
      <c r="AQ67" s="584"/>
      <c r="AR67" s="584"/>
      <c r="AS67" s="584"/>
      <c r="AT67" s="584"/>
      <c r="AU67" s="584"/>
      <c r="AV67" s="584"/>
      <c r="AW67" s="584"/>
    </row>
    <row r="68" spans="1:49" ht="15" x14ac:dyDescent="0.25">
      <c r="A68" s="176"/>
      <c r="B68" s="601">
        <f>'FORMATO PROPUESTA ECONÓMICA'!A71</f>
        <v>7.9</v>
      </c>
      <c r="C68" s="602" t="str">
        <f>'FORMATO PROPUESTA ECONÓMICA'!B71</f>
        <v xml:space="preserve">Adaptador polietileno hembra o macho  25mm </v>
      </c>
      <c r="D68" s="601" t="str">
        <f>'FORMATO PROPUESTA ECONÓMICA'!C71</f>
        <v>und</v>
      </c>
      <c r="E68" s="601">
        <f>'FORMATO PROPUESTA ECONÓMICA'!D71</f>
        <v>30</v>
      </c>
      <c r="F68" s="582"/>
      <c r="G68" s="582"/>
      <c r="H68" s="582"/>
      <c r="L68" s="582"/>
      <c r="M68" s="582"/>
      <c r="N68" s="582"/>
      <c r="O68" s="583"/>
      <c r="P68" s="583"/>
      <c r="Q68" s="583"/>
      <c r="R68" s="583"/>
      <c r="S68" s="584"/>
      <c r="T68" s="584"/>
      <c r="U68" s="584"/>
      <c r="V68" s="584"/>
      <c r="W68" s="584"/>
      <c r="X68" s="584"/>
      <c r="Y68" s="584"/>
      <c r="Z68" s="584"/>
      <c r="AA68" s="584"/>
      <c r="AB68" s="584"/>
      <c r="AC68" s="584"/>
      <c r="AD68" s="584"/>
      <c r="AE68" s="584"/>
      <c r="AF68" s="584"/>
      <c r="AG68" s="584"/>
      <c r="AH68" s="584"/>
      <c r="AI68" s="584"/>
      <c r="AJ68" s="584"/>
      <c r="AK68" s="584"/>
      <c r="AL68" s="584"/>
      <c r="AM68" s="584"/>
      <c r="AN68" s="584"/>
      <c r="AO68" s="584"/>
      <c r="AP68" s="583"/>
      <c r="AQ68" s="583"/>
      <c r="AR68" s="583"/>
      <c r="AS68" s="583"/>
      <c r="AT68" s="583"/>
      <c r="AU68" s="583"/>
      <c r="AV68" s="583"/>
      <c r="AW68" s="583"/>
    </row>
    <row r="69" spans="1:49" s="558" customFormat="1" ht="15" x14ac:dyDescent="0.25">
      <c r="A69" s="176"/>
      <c r="B69" s="601">
        <f>'FORMATO PROPUESTA ECONÓMICA'!A72</f>
        <v>7.1</v>
      </c>
      <c r="C69" s="602" t="str">
        <f>'FORMATO PROPUESTA ECONÓMICA'!B72</f>
        <v>Union rapida polietileno 1/2" 20 mm PEAD</v>
      </c>
      <c r="D69" s="601" t="str">
        <f>'FORMATO PROPUESTA ECONÓMICA'!C72</f>
        <v>und</v>
      </c>
      <c r="E69" s="601">
        <f>'FORMATO PROPUESTA ECONÓMICA'!D72</f>
        <v>1320</v>
      </c>
      <c r="F69" s="156"/>
      <c r="G69" s="584"/>
      <c r="H69" s="584"/>
      <c r="I69" s="582"/>
      <c r="J69" s="582"/>
      <c r="K69" s="582"/>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3"/>
      <c r="AK69" s="583"/>
      <c r="AL69" s="583"/>
      <c r="AM69" s="583"/>
      <c r="AN69" s="584"/>
      <c r="AO69" s="584"/>
      <c r="AP69" s="583"/>
      <c r="AQ69" s="583"/>
      <c r="AR69" s="583"/>
      <c r="AS69" s="583"/>
      <c r="AT69" s="583"/>
      <c r="AU69" s="583"/>
      <c r="AV69" s="583"/>
      <c r="AW69" s="583"/>
    </row>
    <row r="70" spans="1:49" ht="15" x14ac:dyDescent="0.25">
      <c r="A70" s="176"/>
      <c r="B70" s="601">
        <f>'FORMATO PROPUESTA ECONÓMICA'!A73</f>
        <v>7.11</v>
      </c>
      <c r="C70" s="602" t="str">
        <f>'FORMATO PROPUESTA ECONÓMICA'!B73</f>
        <v>Registro corte antifraude 20mm o 25 mm</v>
      </c>
      <c r="D70" s="601" t="str">
        <f>'FORMATO PROPUESTA ECONÓMICA'!C73</f>
        <v>und</v>
      </c>
      <c r="E70" s="601">
        <f>'FORMATO PROPUESTA ECONÓMICA'!D73</f>
        <v>3172</v>
      </c>
      <c r="F70" s="156"/>
      <c r="G70" s="584"/>
      <c r="H70" s="584"/>
      <c r="I70" s="584"/>
      <c r="J70" s="584"/>
      <c r="K70" s="584"/>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3"/>
      <c r="AL70" s="583"/>
      <c r="AM70" s="584"/>
      <c r="AN70" s="584"/>
      <c r="AO70" s="584"/>
      <c r="AP70" s="584"/>
      <c r="AQ70" s="584"/>
      <c r="AR70" s="583"/>
      <c r="AS70" s="583"/>
      <c r="AT70" s="583"/>
      <c r="AU70" s="583"/>
      <c r="AV70" s="583"/>
      <c r="AW70" s="583"/>
    </row>
    <row r="71" spans="1:49" s="558" customFormat="1" ht="15" x14ac:dyDescent="0.25">
      <c r="A71" s="176"/>
      <c r="B71" s="601">
        <f>'FORMATO PROPUESTA ECONÓMICA'!A74</f>
        <v>7.12</v>
      </c>
      <c r="C71" s="602" t="str">
        <f>'FORMATO PROPUESTA ECONÓMICA'!B74</f>
        <v>S.T.C. de Medidor para acometida de acueducto de 15 mm (1/2”), de diametro, chorro único, transmision mecanica, clase metrológica C. ó su equivalente en version 2007 de la norma (Qp: 2,5 m3/h), incluye  la instalación de las pitorras para la correcta conexión a la intradomiciliar  y niple</v>
      </c>
      <c r="D71" s="601" t="str">
        <f>'FORMATO PROPUESTA ECONÓMICA'!C74</f>
        <v>und</v>
      </c>
      <c r="E71" s="601">
        <f>'FORMATO PROPUESTA ECONÓMICA'!D74</f>
        <v>3172</v>
      </c>
      <c r="F71" s="156"/>
      <c r="G71" s="584"/>
      <c r="H71" s="584"/>
      <c r="I71" s="584"/>
      <c r="J71" s="584"/>
      <c r="K71" s="584"/>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3"/>
      <c r="AL71" s="583"/>
      <c r="AM71" s="584"/>
      <c r="AN71" s="584"/>
      <c r="AO71" s="584"/>
      <c r="AP71" s="584"/>
      <c r="AQ71" s="584"/>
      <c r="AR71" s="584"/>
      <c r="AS71" s="584"/>
      <c r="AT71" s="584"/>
      <c r="AU71" s="584"/>
      <c r="AV71" s="584"/>
      <c r="AW71" s="584"/>
    </row>
    <row r="72" spans="1:49" ht="15" x14ac:dyDescent="0.25">
      <c r="B72" s="601">
        <f>'FORMATO PROPUESTA ECONÓMICA'!A75</f>
        <v>7.13</v>
      </c>
      <c r="C72" s="602" t="str">
        <f>'FORMATO PROPUESTA ECONÓMICA'!B75</f>
        <v>Registro contención pvc 1/2" liso</v>
      </c>
      <c r="D72" s="601" t="str">
        <f>'FORMATO PROPUESTA ECONÓMICA'!C75</f>
        <v>und</v>
      </c>
      <c r="E72" s="601">
        <f>'FORMATO PROPUESTA ECONÓMICA'!D75</f>
        <v>3172</v>
      </c>
      <c r="F72" s="156"/>
      <c r="G72" s="584"/>
      <c r="H72" s="584"/>
      <c r="I72" s="584"/>
      <c r="J72" s="584"/>
      <c r="K72" s="584"/>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4"/>
      <c r="AN72" s="584"/>
      <c r="AO72" s="584"/>
    </row>
    <row r="73" spans="1:49" ht="15" x14ac:dyDescent="0.25">
      <c r="B73" s="601">
        <f>'FORMATO PROPUESTA ECONÓMICA'!A76</f>
        <v>7.14</v>
      </c>
      <c r="C73" s="602" t="str">
        <f>'FORMATO PROPUESTA ECONÓMICA'!B76</f>
        <v xml:space="preserve">Unión lisa pvc 1/2" presión </v>
      </c>
      <c r="D73" s="601" t="str">
        <f>'FORMATO PROPUESTA ECONÓMICA'!C76</f>
        <v>und</v>
      </c>
      <c r="E73" s="601">
        <f>'FORMATO PROPUESTA ECONÓMICA'!D76</f>
        <v>4739</v>
      </c>
      <c r="F73" s="156"/>
      <c r="G73" s="584"/>
      <c r="H73" s="584"/>
      <c r="I73" s="584"/>
      <c r="J73" s="584"/>
      <c r="K73" s="584"/>
      <c r="L73" s="584"/>
      <c r="M73" s="584"/>
      <c r="N73" s="584"/>
      <c r="O73" s="584"/>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4"/>
      <c r="AM73" s="584"/>
      <c r="AN73" s="584"/>
      <c r="AO73" s="584"/>
      <c r="AP73" s="584"/>
      <c r="AQ73" s="584"/>
      <c r="AR73" s="584"/>
      <c r="AS73" s="584"/>
      <c r="AT73" s="584"/>
      <c r="AU73" s="584"/>
      <c r="AV73" s="584"/>
      <c r="AW73" s="584"/>
    </row>
    <row r="74" spans="1:49" ht="15" x14ac:dyDescent="0.25">
      <c r="B74" s="601">
        <f>'FORMATO PROPUESTA ECONÓMICA'!A77</f>
        <v>7.15</v>
      </c>
      <c r="C74" s="602" t="str">
        <f>'FORMATO PROPUESTA ECONÓMICA'!B77</f>
        <v>Codo liso pvc  1/2"X90° presión</v>
      </c>
      <c r="D74" s="601" t="str">
        <f>'FORMATO PROPUESTA ECONÓMICA'!C77</f>
        <v>und</v>
      </c>
      <c r="E74" s="601">
        <f>'FORMATO PROPUESTA ECONÓMICA'!D77</f>
        <v>4647</v>
      </c>
      <c r="F74" s="156"/>
      <c r="G74" s="584"/>
      <c r="H74" s="584"/>
      <c r="I74" s="584"/>
      <c r="J74" s="584"/>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4"/>
      <c r="AM74" s="584"/>
      <c r="AN74" s="584"/>
      <c r="AO74" s="584"/>
      <c r="AP74" s="584"/>
      <c r="AQ74" s="584"/>
      <c r="AR74" s="584"/>
      <c r="AS74" s="584"/>
      <c r="AT74" s="584"/>
      <c r="AU74" s="584"/>
      <c r="AV74" s="584"/>
      <c r="AW74" s="584"/>
    </row>
    <row r="75" spans="1:49" ht="15" x14ac:dyDescent="0.25">
      <c r="A75" s="573"/>
      <c r="B75" s="603">
        <f>'FORMATO PROPUESTA ECONÓMICA'!A78</f>
        <v>8</v>
      </c>
      <c r="C75" s="604" t="str">
        <f>'FORMATO PROPUESTA ECONÓMICA'!B78</f>
        <v>S.T.C ACCESORIOS PARA ACUEDUCTO HD</v>
      </c>
      <c r="D75" s="603"/>
      <c r="E75" s="603"/>
      <c r="F75" s="585"/>
      <c r="G75" s="590"/>
      <c r="H75" s="590"/>
      <c r="I75" s="590"/>
      <c r="J75" s="590"/>
      <c r="K75" s="590"/>
      <c r="L75" s="590"/>
      <c r="M75" s="590"/>
      <c r="N75" s="590"/>
      <c r="O75" s="590"/>
      <c r="P75" s="590"/>
      <c r="Q75" s="590"/>
      <c r="R75" s="590"/>
      <c r="S75" s="590"/>
      <c r="T75" s="590"/>
      <c r="U75" s="590"/>
      <c r="V75" s="590"/>
      <c r="W75" s="590"/>
      <c r="X75" s="590"/>
      <c r="Y75" s="590"/>
      <c r="Z75" s="590"/>
      <c r="AA75" s="590"/>
      <c r="AB75" s="590"/>
      <c r="AC75" s="590"/>
      <c r="AD75" s="590"/>
      <c r="AE75" s="590"/>
      <c r="AF75" s="590"/>
      <c r="AG75" s="590"/>
      <c r="AH75" s="590"/>
      <c r="AI75" s="590"/>
      <c r="AJ75" s="590"/>
      <c r="AK75" s="590"/>
      <c r="AL75" s="590"/>
      <c r="AM75" s="590"/>
      <c r="AN75" s="590"/>
      <c r="AO75" s="590"/>
    </row>
    <row r="76" spans="1:49" ht="15" x14ac:dyDescent="0.25">
      <c r="B76" s="601">
        <f>'FORMATO PROPUESTA ECONÓMICA'!A79</f>
        <v>8.1</v>
      </c>
      <c r="C76" s="602" t="str">
        <f>'FORMATO PROPUESTA ECONÓMICA'!B79</f>
        <v>Union dreseer 3" transicion PEAD-PVC</v>
      </c>
      <c r="D76" s="601" t="str">
        <f>'FORMATO PROPUESTA ECONÓMICA'!C79</f>
        <v>und</v>
      </c>
      <c r="E76" s="601">
        <f>'FORMATO PROPUESTA ECONÓMICA'!D79</f>
        <v>33</v>
      </c>
      <c r="F76" s="156"/>
      <c r="G76" s="584"/>
      <c r="H76" s="584"/>
      <c r="I76" s="584"/>
      <c r="J76" s="584"/>
      <c r="K76" s="584"/>
      <c r="L76" s="584"/>
      <c r="M76" s="583"/>
      <c r="N76" s="583"/>
      <c r="O76" s="583"/>
      <c r="P76" s="584"/>
      <c r="Q76" s="584"/>
      <c r="R76" s="584"/>
      <c r="S76" s="584"/>
      <c r="T76" s="584"/>
      <c r="U76" s="584"/>
      <c r="V76" s="584"/>
      <c r="W76" s="584"/>
      <c r="X76" s="584"/>
      <c r="Y76" s="584"/>
      <c r="Z76" s="584"/>
      <c r="AA76" s="584"/>
      <c r="AB76" s="584"/>
      <c r="AC76" s="584"/>
      <c r="AD76" s="584"/>
      <c r="AE76" s="584"/>
      <c r="AF76" s="584"/>
      <c r="AG76" s="584"/>
      <c r="AH76" s="584"/>
      <c r="AI76" s="584"/>
      <c r="AJ76" s="584"/>
      <c r="AK76" s="584"/>
      <c r="AL76" s="584"/>
      <c r="AM76" s="583"/>
      <c r="AN76" s="583"/>
      <c r="AO76" s="583"/>
    </row>
    <row r="77" spans="1:49" x14ac:dyDescent="0.2">
      <c r="B77" s="601">
        <f>'FORMATO PROPUESTA ECONÓMICA'!A80</f>
        <v>8.1999999999999993</v>
      </c>
      <c r="C77" s="602" t="str">
        <f>'FORMATO PROPUESTA ECONÓMICA'!B80</f>
        <v>Union dreseer 4" transicion PEAD-PVC</v>
      </c>
      <c r="D77" s="601" t="str">
        <f>'FORMATO PROPUESTA ECONÓMICA'!C80</f>
        <v>und</v>
      </c>
      <c r="E77" s="601">
        <f>'FORMATO PROPUESTA ECONÓMICA'!D80</f>
        <v>3</v>
      </c>
      <c r="F77" s="607"/>
      <c r="G77" s="587"/>
      <c r="H77" s="587"/>
      <c r="I77" s="587"/>
      <c r="J77" s="587"/>
      <c r="K77" s="587"/>
      <c r="L77" s="587"/>
      <c r="M77" s="587"/>
      <c r="N77" s="587"/>
      <c r="O77" s="587"/>
      <c r="P77" s="583"/>
      <c r="Q77" s="583"/>
      <c r="R77" s="583"/>
      <c r="S77" s="587"/>
      <c r="T77" s="587"/>
      <c r="U77" s="587"/>
      <c r="V77" s="587"/>
      <c r="W77" s="587"/>
      <c r="X77" s="587"/>
      <c r="Y77" s="587"/>
      <c r="Z77" s="587"/>
      <c r="AA77" s="587"/>
      <c r="AB77" s="587"/>
      <c r="AC77" s="587"/>
      <c r="AD77" s="587"/>
      <c r="AE77" s="587"/>
      <c r="AF77" s="587"/>
      <c r="AG77" s="587"/>
      <c r="AH77" s="587"/>
      <c r="AI77" s="587"/>
      <c r="AJ77" s="587"/>
      <c r="AK77" s="587"/>
      <c r="AL77" s="587"/>
      <c r="AM77" s="587"/>
      <c r="AN77" s="587"/>
      <c r="AO77" s="587"/>
    </row>
    <row r="78" spans="1:49" x14ac:dyDescent="0.2">
      <c r="B78" s="601">
        <f>'FORMATO PROPUESTA ECONÓMICA'!A81</f>
        <v>8.3000000000000007</v>
      </c>
      <c r="C78" s="602" t="str">
        <f>'FORMATO PROPUESTA ECONÓMICA'!B81</f>
        <v>Union dreseer 6" transicion PEAD-PVC</v>
      </c>
      <c r="D78" s="601" t="str">
        <f>'FORMATO PROPUESTA ECONÓMICA'!C81</f>
        <v>und</v>
      </c>
      <c r="E78" s="601">
        <f>'FORMATO PROPUESTA ECONÓMICA'!D81</f>
        <v>2</v>
      </c>
      <c r="F78" s="60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3"/>
      <c r="AI78" s="583"/>
      <c r="AJ78" s="583"/>
      <c r="AK78" s="587"/>
      <c r="AL78" s="587"/>
      <c r="AM78" s="587"/>
      <c r="AN78" s="587"/>
      <c r="AO78" s="587"/>
    </row>
    <row r="79" spans="1:49" x14ac:dyDescent="0.2">
      <c r="B79" s="601">
        <f>'FORMATO PROPUESTA ECONÓMICA'!A82</f>
        <v>8.4</v>
      </c>
      <c r="C79" s="602" t="str">
        <f>'FORMATO PROPUESTA ECONÓMICA'!B82</f>
        <v>Union dreseer 8" transicion PEAD-PVC</v>
      </c>
      <c r="D79" s="601" t="str">
        <f>'FORMATO PROPUESTA ECONÓMICA'!C82</f>
        <v>und</v>
      </c>
      <c r="E79" s="601">
        <f>'FORMATO PROPUESTA ECONÓMICA'!D82</f>
        <v>3</v>
      </c>
      <c r="F79" s="607"/>
      <c r="G79" s="583"/>
      <c r="H79" s="583"/>
      <c r="I79" s="583"/>
      <c r="J79" s="583"/>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row>
    <row r="80" spans="1:49" x14ac:dyDescent="0.2">
      <c r="B80" s="601">
        <f>'FORMATO PROPUESTA ECONÓMICA'!A83</f>
        <v>8.5</v>
      </c>
      <c r="C80" s="602" t="str">
        <f>'FORMATO PROPUESTA ECONÓMICA'!B83</f>
        <v xml:space="preserve">Tapa rectangular antifraude EPM de 35x50 cms fundición dúctil o nodular, con nombre de empresa </v>
      </c>
      <c r="D80" s="601" t="str">
        <f>'FORMATO PROPUESTA ECONÓMICA'!C83</f>
        <v>und</v>
      </c>
      <c r="E80" s="601">
        <f>'FORMATO PROPUESTA ECONÓMICA'!D83</f>
        <v>3172</v>
      </c>
      <c r="F80" s="607"/>
      <c r="G80" s="587"/>
      <c r="H80" s="587"/>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3"/>
      <c r="AL80" s="587"/>
      <c r="AM80" s="587"/>
      <c r="AN80" s="587"/>
      <c r="AO80" s="587"/>
    </row>
    <row r="81" spans="1:41" x14ac:dyDescent="0.2">
      <c r="B81" s="601">
        <f>'FORMATO PROPUESTA ECONÓMICA'!A84</f>
        <v>8.6</v>
      </c>
      <c r="C81" s="602" t="str">
        <f>'FORMATO PROPUESTA ECONÓMICA'!B84</f>
        <v>Brida loca HD d= 2"</v>
      </c>
      <c r="D81" s="601" t="str">
        <f>'FORMATO PROPUESTA ECONÓMICA'!C84</f>
        <v>und</v>
      </c>
      <c r="E81" s="601">
        <f>'FORMATO PROPUESTA ECONÓMICA'!D84</f>
        <v>480</v>
      </c>
      <c r="F81" s="607"/>
      <c r="G81" s="587"/>
      <c r="H81" s="587"/>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3"/>
      <c r="AL81" s="587"/>
      <c r="AM81" s="587"/>
      <c r="AN81" s="587"/>
      <c r="AO81" s="587"/>
    </row>
    <row r="82" spans="1:41" x14ac:dyDescent="0.2">
      <c r="B82" s="601">
        <f>'FORMATO PROPUESTA ECONÓMICA'!A85</f>
        <v>8.6999999999999993</v>
      </c>
      <c r="C82" s="602" t="str">
        <f>'FORMATO PROPUESTA ECONÓMICA'!B85</f>
        <v>Brida loca HD d= 3"</v>
      </c>
      <c r="D82" s="601" t="str">
        <f>'FORMATO PROPUESTA ECONÓMICA'!C85</f>
        <v>und</v>
      </c>
      <c r="E82" s="601">
        <f>'FORMATO PROPUESTA ECONÓMICA'!D85</f>
        <v>138</v>
      </c>
      <c r="F82" s="607"/>
      <c r="G82" s="587"/>
      <c r="H82" s="587"/>
      <c r="I82" s="587"/>
      <c r="J82" s="587"/>
      <c r="K82" s="587"/>
      <c r="L82" s="587"/>
      <c r="M82" s="587"/>
      <c r="N82" s="587"/>
      <c r="O82" s="583"/>
      <c r="P82" s="583"/>
      <c r="Q82" s="583"/>
      <c r="R82" s="583"/>
      <c r="S82" s="583"/>
      <c r="T82" s="583"/>
      <c r="U82" s="583"/>
      <c r="V82" s="583"/>
      <c r="W82" s="583"/>
      <c r="X82" s="583"/>
      <c r="Y82" s="583"/>
      <c r="Z82" s="583"/>
      <c r="AA82" s="583"/>
      <c r="AB82" s="583"/>
      <c r="AC82" s="583"/>
      <c r="AD82" s="583"/>
      <c r="AE82" s="583"/>
      <c r="AF82" s="583"/>
      <c r="AG82" s="583"/>
      <c r="AH82" s="583"/>
      <c r="AI82" s="587"/>
      <c r="AJ82" s="587"/>
      <c r="AK82" s="587"/>
      <c r="AL82" s="587"/>
      <c r="AM82" s="587"/>
      <c r="AN82" s="587"/>
      <c r="AO82" s="587"/>
    </row>
    <row r="83" spans="1:41" x14ac:dyDescent="0.2">
      <c r="B83" s="601">
        <f>'FORMATO PROPUESTA ECONÓMICA'!A86</f>
        <v>8.8000000000000007</v>
      </c>
      <c r="C83" s="602" t="str">
        <f>'FORMATO PROPUESTA ECONÓMICA'!B86</f>
        <v>Brida loca HD d= 4"</v>
      </c>
      <c r="D83" s="601" t="str">
        <f>'FORMATO PROPUESTA ECONÓMICA'!C86</f>
        <v>und</v>
      </c>
      <c r="E83" s="601">
        <f>'FORMATO PROPUESTA ECONÓMICA'!D86</f>
        <v>16</v>
      </c>
      <c r="F83" s="607"/>
      <c r="G83" s="587"/>
      <c r="H83" s="587"/>
      <c r="I83" s="587"/>
      <c r="J83" s="587"/>
      <c r="K83" s="587"/>
      <c r="L83" s="587"/>
      <c r="M83" s="587"/>
      <c r="N83" s="587"/>
      <c r="O83" s="587"/>
      <c r="P83" s="587"/>
      <c r="Q83" s="587"/>
      <c r="R83" s="587"/>
      <c r="S83" s="587"/>
      <c r="T83" s="583"/>
      <c r="U83" s="583"/>
      <c r="V83" s="583"/>
      <c r="W83" s="583"/>
      <c r="X83" s="583"/>
      <c r="Y83" s="583"/>
      <c r="Z83" s="583"/>
      <c r="AA83" s="583"/>
      <c r="AB83" s="583"/>
      <c r="AC83" s="583"/>
      <c r="AD83" s="583"/>
      <c r="AE83" s="583"/>
      <c r="AF83" s="583"/>
      <c r="AG83" s="583"/>
      <c r="AH83" s="587"/>
      <c r="AI83" s="587"/>
      <c r="AJ83" s="587"/>
      <c r="AK83" s="587"/>
      <c r="AL83" s="587"/>
      <c r="AM83" s="587"/>
      <c r="AN83" s="587"/>
      <c r="AO83" s="587"/>
    </row>
    <row r="84" spans="1:41" x14ac:dyDescent="0.2">
      <c r="B84" s="601">
        <f>'FORMATO PROPUESTA ECONÓMICA'!A87</f>
        <v>8.9</v>
      </c>
      <c r="C84" s="602" t="str">
        <f>'FORMATO PROPUESTA ECONÓMICA'!B87</f>
        <v>Brida loca HD d= 6"</v>
      </c>
      <c r="D84" s="601" t="str">
        <f>'FORMATO PROPUESTA ECONÓMICA'!C87</f>
        <v>und</v>
      </c>
      <c r="E84" s="601">
        <f>'FORMATO PROPUESTA ECONÓMICA'!D87</f>
        <v>2</v>
      </c>
      <c r="F84" s="60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3"/>
      <c r="AI84" s="583"/>
      <c r="AJ84" s="583"/>
      <c r="AK84" s="587"/>
      <c r="AL84" s="587"/>
      <c r="AM84" s="587"/>
      <c r="AN84" s="587"/>
      <c r="AO84" s="587"/>
    </row>
    <row r="85" spans="1:41" x14ac:dyDescent="0.2">
      <c r="B85" s="601">
        <f>'FORMATO PROPUESTA ECONÓMICA'!A88</f>
        <v>8.1</v>
      </c>
      <c r="C85" s="602" t="str">
        <f>'FORMATO PROPUESTA ECONÓMICA'!B88</f>
        <v>Brida loca HD d= 8"</v>
      </c>
      <c r="D85" s="601" t="str">
        <f>'FORMATO PROPUESTA ECONÓMICA'!C88</f>
        <v>und</v>
      </c>
      <c r="E85" s="601">
        <f>'FORMATO PROPUESTA ECONÓMICA'!D88</f>
        <v>16</v>
      </c>
      <c r="F85" s="607"/>
      <c r="G85" s="583"/>
      <c r="H85" s="583"/>
      <c r="I85" s="583"/>
      <c r="J85" s="583"/>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row>
    <row r="86" spans="1:41" x14ac:dyDescent="0.2">
      <c r="B86" s="601">
        <f>'FORMATO PROPUESTA ECONÓMICA'!A89</f>
        <v>8.11</v>
      </c>
      <c r="C86" s="602" t="str">
        <f>'FORMATO PROPUESTA ECONÓMICA'!B89</f>
        <v>Válvula de compuerta elástica vástago no ascendente bridada d = 2"</v>
      </c>
      <c r="D86" s="601" t="str">
        <f>'FORMATO PROPUESTA ECONÓMICA'!C89</f>
        <v>und</v>
      </c>
      <c r="E86" s="601">
        <f>'FORMATO PROPUESTA ECONÓMICA'!D89</f>
        <v>240</v>
      </c>
      <c r="F86" s="607"/>
      <c r="G86" s="607"/>
      <c r="H86" s="607"/>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7"/>
      <c r="AK86" s="587"/>
      <c r="AL86" s="587"/>
      <c r="AM86" s="587"/>
      <c r="AN86" s="587"/>
      <c r="AO86" s="587"/>
    </row>
    <row r="87" spans="1:41" x14ac:dyDescent="0.2">
      <c r="B87" s="601">
        <f>'FORMATO PROPUESTA ECONÓMICA'!A90</f>
        <v>8.1199999999999992</v>
      </c>
      <c r="C87" s="602" t="str">
        <f>'FORMATO PROPUESTA ECONÓMICA'!B90</f>
        <v>Válvula de compuerta elástica vástago no ascendente bridada d = 3"</v>
      </c>
      <c r="D87" s="601" t="str">
        <f>'FORMATO PROPUESTA ECONÓMICA'!C90</f>
        <v>und</v>
      </c>
      <c r="E87" s="601">
        <f>'FORMATO PROPUESTA ECONÓMICA'!D90</f>
        <v>69</v>
      </c>
      <c r="F87" s="607"/>
      <c r="G87" s="587"/>
      <c r="H87" s="587"/>
      <c r="I87" s="587"/>
      <c r="J87" s="587"/>
      <c r="K87" s="587"/>
      <c r="L87" s="587"/>
      <c r="M87" s="587"/>
      <c r="N87" s="587"/>
      <c r="O87" s="583"/>
      <c r="P87" s="583"/>
      <c r="Q87" s="583"/>
      <c r="R87" s="583"/>
      <c r="S87" s="583"/>
      <c r="T87" s="583"/>
      <c r="U87" s="583"/>
      <c r="V87" s="583"/>
      <c r="W87" s="583"/>
      <c r="X87" s="583"/>
      <c r="Y87" s="583"/>
      <c r="Z87" s="583"/>
      <c r="AA87" s="583"/>
      <c r="AB87" s="583"/>
      <c r="AC87" s="583"/>
      <c r="AD87" s="583"/>
      <c r="AE87" s="583"/>
      <c r="AF87" s="583"/>
      <c r="AG87" s="583"/>
      <c r="AH87" s="583"/>
      <c r="AI87" s="583"/>
      <c r="AJ87" s="587"/>
      <c r="AK87" s="587"/>
      <c r="AL87" s="587"/>
      <c r="AM87" s="587"/>
      <c r="AN87" s="587"/>
      <c r="AO87" s="587"/>
    </row>
    <row r="88" spans="1:41" x14ac:dyDescent="0.2">
      <c r="B88" s="601">
        <f>'FORMATO PROPUESTA ECONÓMICA'!A91</f>
        <v>8.1300000000000008</v>
      </c>
      <c r="C88" s="602" t="str">
        <f>'FORMATO PROPUESTA ECONÓMICA'!B91</f>
        <v>Válvula de compuerta elástica vástago no ascendente bridada d = 4"</v>
      </c>
      <c r="D88" s="601" t="str">
        <f>'FORMATO PROPUESTA ECONÓMICA'!C91</f>
        <v>und</v>
      </c>
      <c r="E88" s="601">
        <f>'FORMATO PROPUESTA ECONÓMICA'!D91</f>
        <v>8</v>
      </c>
      <c r="F88" s="607"/>
      <c r="G88" s="587"/>
      <c r="H88" s="587"/>
      <c r="I88" s="587"/>
      <c r="J88" s="587"/>
      <c r="K88" s="587"/>
      <c r="L88" s="587"/>
      <c r="M88" s="587"/>
      <c r="N88" s="587"/>
      <c r="O88" s="587"/>
      <c r="P88" s="587"/>
      <c r="Q88" s="587"/>
      <c r="R88" s="587"/>
      <c r="S88" s="587"/>
      <c r="T88" s="583"/>
      <c r="U88" s="583"/>
      <c r="V88" s="583"/>
      <c r="W88" s="583"/>
      <c r="X88" s="583"/>
      <c r="Y88" s="583"/>
      <c r="Z88" s="583"/>
      <c r="AA88" s="583"/>
      <c r="AB88" s="583"/>
      <c r="AC88" s="583"/>
      <c r="AD88" s="583"/>
      <c r="AE88" s="583"/>
      <c r="AF88" s="583"/>
      <c r="AG88" s="583"/>
      <c r="AH88" s="587"/>
      <c r="AI88" s="587"/>
      <c r="AJ88" s="587"/>
      <c r="AK88" s="587"/>
      <c r="AL88" s="587"/>
      <c r="AM88" s="587"/>
      <c r="AN88" s="587"/>
      <c r="AO88" s="587"/>
    </row>
    <row r="89" spans="1:41" x14ac:dyDescent="0.2">
      <c r="B89" s="601">
        <f>'FORMATO PROPUESTA ECONÓMICA'!A92</f>
        <v>8.14</v>
      </c>
      <c r="C89" s="602" t="str">
        <f>'FORMATO PROPUESTA ECONÓMICA'!B92</f>
        <v>Válvula de compuerta elástica vástago no ascendente bridada d = 6"</v>
      </c>
      <c r="D89" s="601" t="str">
        <f>'FORMATO PROPUESTA ECONÓMICA'!C92</f>
        <v>und</v>
      </c>
      <c r="E89" s="601">
        <f>'FORMATO PROPUESTA ECONÓMICA'!D92</f>
        <v>1</v>
      </c>
      <c r="F89" s="60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3"/>
      <c r="AI89" s="583"/>
      <c r="AJ89" s="583"/>
      <c r="AK89" s="587"/>
      <c r="AL89" s="587"/>
      <c r="AM89" s="587"/>
      <c r="AN89" s="587"/>
      <c r="AO89" s="587"/>
    </row>
    <row r="90" spans="1:41" x14ac:dyDescent="0.2">
      <c r="B90" s="601">
        <f>'FORMATO PROPUESTA ECONÓMICA'!A93</f>
        <v>8.15</v>
      </c>
      <c r="C90" s="602" t="str">
        <f>'FORMATO PROPUESTA ECONÓMICA'!B93</f>
        <v>Válvula de compuerta elástica vástago no ascendente bridada d = 8"</v>
      </c>
      <c r="D90" s="601" t="str">
        <f>'FORMATO PROPUESTA ECONÓMICA'!C93</f>
        <v>und</v>
      </c>
      <c r="E90" s="601">
        <f>'FORMATO PROPUESTA ECONÓMICA'!D93</f>
        <v>8</v>
      </c>
      <c r="F90" s="607"/>
      <c r="G90" s="583"/>
      <c r="H90" s="583"/>
      <c r="I90" s="583"/>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7"/>
      <c r="AL90" s="587"/>
      <c r="AM90" s="587"/>
      <c r="AN90" s="587"/>
      <c r="AO90" s="587"/>
    </row>
    <row r="91" spans="1:41" x14ac:dyDescent="0.2">
      <c r="B91" s="601">
        <f>'FORMATO PROPUESTA ECONÓMICA'!A94</f>
        <v>8.16</v>
      </c>
      <c r="C91" s="602" t="str">
        <f>'FORMATO PROPUESTA ECONÓMICA'!B94</f>
        <v xml:space="preserve">Hidrante Ø 3¨ tipo milan incluye válvula en HD extremo liso y demas  accesorios para su instalación </v>
      </c>
      <c r="D91" s="601" t="str">
        <f>'FORMATO PROPUESTA ECONÓMICA'!C94</f>
        <v>und</v>
      </c>
      <c r="E91" s="601">
        <f>'FORMATO PROPUESTA ECONÓMICA'!D94</f>
        <v>27</v>
      </c>
      <c r="F91" s="607"/>
      <c r="G91" s="587"/>
      <c r="H91" s="587"/>
      <c r="I91" s="587"/>
      <c r="J91" s="587"/>
      <c r="K91" s="583"/>
      <c r="L91" s="583"/>
      <c r="M91" s="583"/>
      <c r="N91" s="583"/>
      <c r="O91" s="583"/>
      <c r="P91" s="583"/>
      <c r="Q91" s="583"/>
      <c r="R91" s="583"/>
      <c r="S91" s="583"/>
      <c r="T91" s="583"/>
      <c r="U91" s="583"/>
      <c r="V91" s="583"/>
      <c r="W91" s="583"/>
      <c r="X91" s="583"/>
      <c r="Y91" s="587"/>
      <c r="Z91" s="587"/>
      <c r="AA91" s="587"/>
      <c r="AB91" s="587"/>
      <c r="AC91" s="587"/>
      <c r="AD91" s="587"/>
      <c r="AE91" s="587"/>
      <c r="AF91" s="587"/>
      <c r="AG91" s="587"/>
      <c r="AH91" s="587"/>
      <c r="AI91" s="587"/>
      <c r="AJ91" s="587"/>
      <c r="AK91" s="587"/>
      <c r="AL91" s="587"/>
      <c r="AM91" s="587"/>
      <c r="AN91" s="587"/>
      <c r="AO91" s="587"/>
    </row>
    <row r="92" spans="1:41" x14ac:dyDescent="0.2">
      <c r="A92" s="573"/>
      <c r="B92" s="603">
        <f>'FORMATO PROPUESTA ECONÓMICA'!A125</f>
        <v>10</v>
      </c>
      <c r="C92" s="604" t="str">
        <f>'FORMATO PROPUESTA ECONÓMICA'!B125</f>
        <v>VARIOS</v>
      </c>
      <c r="D92" s="603">
        <f>'FORMATO PROPUESTA ECONÓMICA'!C125</f>
        <v>0</v>
      </c>
      <c r="E92" s="603"/>
      <c r="F92" s="608"/>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row>
    <row r="93" spans="1:41" x14ac:dyDescent="0.2">
      <c r="B93" s="601">
        <f>'FORMATO PROPUESTA ECONÓMICA'!A127</f>
        <v>10.199999999999999</v>
      </c>
      <c r="C93" s="602" t="str">
        <f>'FORMATO PROPUESTA ECONÓMICA'!B127</f>
        <v>Suministro, transporte y construcción de caja de medidor de 1/2" en concreto de 21 Mpa (210Kg/cm2) de 35x50 cm, espesor de 0,05 m,  incluye instalación de la tapa metálica.</v>
      </c>
      <c r="D93" s="601" t="str">
        <f>'FORMATO PROPUESTA ECONÓMICA'!C127</f>
        <v>und</v>
      </c>
      <c r="E93" s="601">
        <f>'FORMATO PROPUESTA ECONÓMICA'!D127</f>
        <v>3172</v>
      </c>
      <c r="F93" s="607"/>
      <c r="G93" s="587"/>
      <c r="H93" s="587"/>
      <c r="I93" s="587"/>
      <c r="J93" s="587"/>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7"/>
      <c r="AL93" s="587"/>
      <c r="AM93" s="587"/>
      <c r="AN93" s="587"/>
      <c r="AO93" s="587"/>
    </row>
    <row r="94" spans="1:41" x14ac:dyDescent="0.2">
      <c r="B94" s="601" t="str">
        <f>'FORMATO PROPUESTA ECONÓMICA'!A128</f>
        <v>10.3</v>
      </c>
      <c r="C94" s="602" t="str">
        <f>'FORMATO PROPUESTA ECONÓMICA'!B128</f>
        <v>Construccion de caja para Válvula (Incluye: Ladrillo macizo de 10x20x40, Tubería Sanitaria a Ø6", Adaptador de Limpieza a Ø6", concreto para marco y tapa) según Norma EPM esquema 1, especificación 707,</v>
      </c>
      <c r="D94" s="601" t="str">
        <f>'FORMATO PROPUESTA ECONÓMICA'!C128</f>
        <v>und</v>
      </c>
      <c r="E94" s="601">
        <f>'FORMATO PROPUESTA ECONÓMICA'!D128</f>
        <v>326</v>
      </c>
      <c r="F94" s="607"/>
      <c r="G94" s="587"/>
      <c r="H94" s="587"/>
      <c r="I94" s="587"/>
      <c r="J94" s="587"/>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7"/>
      <c r="AL94" s="587"/>
      <c r="AM94" s="587"/>
      <c r="AN94" s="587"/>
      <c r="AO94" s="587"/>
    </row>
    <row r="95" spans="1:41" x14ac:dyDescent="0.2">
      <c r="B95" s="601" t="str">
        <f>'FORMATO PROPUESTA ECONÓMICA'!A129</f>
        <v>10.4</v>
      </c>
      <c r="C95" s="602" t="str">
        <f>'FORMATO PROPUESTA ECONÓMICA'!B129</f>
        <v>S.T.C. de cinta señalización redes de acueducto</v>
      </c>
      <c r="D95" s="601" t="str">
        <f>'FORMATO PROPUESTA ECONÓMICA'!C129</f>
        <v>m</v>
      </c>
      <c r="E95" s="601">
        <f>'FORMATO PROPUESTA ECONÓMICA'!D129</f>
        <v>41315</v>
      </c>
      <c r="F95" s="607"/>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7"/>
      <c r="AO95" s="587"/>
    </row>
    <row r="96" spans="1:41" x14ac:dyDescent="0.2">
      <c r="B96" s="601">
        <f>'FORMATO PROPUESTA ECONÓMICA'!A130</f>
        <v>10.5</v>
      </c>
      <c r="C96" s="602" t="str">
        <f>'FORMATO PROPUESTA ECONÓMICA'!B130</f>
        <v>S.T.C. de Concreto f`c=21Mpa para apoyo de accesorios</v>
      </c>
      <c r="D96" s="601" t="str">
        <f>'FORMATO PROPUESTA ECONÓMICA'!C130</f>
        <v>m3</v>
      </c>
      <c r="E96" s="601">
        <f>'FORMATO PROPUESTA ECONÓMICA'!D130</f>
        <v>9</v>
      </c>
      <c r="F96" s="607"/>
      <c r="G96" s="587"/>
      <c r="H96" s="587"/>
      <c r="I96" s="587"/>
      <c r="J96" s="587"/>
      <c r="K96" s="587"/>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7"/>
      <c r="AK96" s="587"/>
      <c r="AL96" s="587"/>
      <c r="AM96" s="587"/>
      <c r="AN96" s="587"/>
      <c r="AO96" s="587"/>
    </row>
    <row r="97" spans="1:41" x14ac:dyDescent="0.2">
      <c r="B97" s="601">
        <f>'FORMATO PROPUESTA ECONÓMICA'!A131</f>
        <v>10.6</v>
      </c>
      <c r="C97" s="602" t="str">
        <f>'FORMATO PROPUESTA ECONÓMICA'!B131</f>
        <v>Suministro, transporte, figuración y colocación de Acero de refuerzo de Fy = 420 Mpa, 60000psi, para andenes en concreto.</v>
      </c>
      <c r="D97" s="601" t="str">
        <f>'FORMATO PROPUESTA ECONÓMICA'!C131</f>
        <v>Kg</v>
      </c>
      <c r="E97" s="601">
        <f>'FORMATO PROPUESTA ECONÓMICA'!D131</f>
        <v>1466.6</v>
      </c>
      <c r="F97" s="607"/>
      <c r="G97" s="587"/>
      <c r="H97" s="587"/>
      <c r="I97" s="587"/>
      <c r="J97" s="587"/>
      <c r="K97" s="587"/>
      <c r="L97" s="583"/>
      <c r="M97" s="583"/>
      <c r="N97" s="583"/>
      <c r="O97" s="583"/>
      <c r="P97" s="583"/>
      <c r="Q97" s="583"/>
      <c r="R97" s="583"/>
      <c r="S97" s="583"/>
      <c r="T97" s="583"/>
      <c r="U97" s="583"/>
      <c r="V97" s="587"/>
      <c r="W97" s="587"/>
      <c r="X97" s="587"/>
      <c r="Y97" s="587"/>
      <c r="Z97" s="587"/>
      <c r="AA97" s="587"/>
      <c r="AB97" s="587"/>
      <c r="AC97" s="587"/>
      <c r="AD97" s="587"/>
      <c r="AE97" s="587"/>
      <c r="AF97" s="587"/>
      <c r="AG97" s="587"/>
      <c r="AH97" s="587"/>
      <c r="AI97" s="587"/>
      <c r="AJ97" s="587"/>
      <c r="AK97" s="587"/>
      <c r="AL97" s="587"/>
      <c r="AM97" s="587"/>
      <c r="AN97" s="587"/>
      <c r="AO97" s="587"/>
    </row>
    <row r="98" spans="1:41" x14ac:dyDescent="0.2">
      <c r="A98" s="573"/>
      <c r="B98" s="603">
        <f>'FORMATO PROPUESTA ECONÓMICA'!A133</f>
        <v>11</v>
      </c>
      <c r="C98" s="604" t="str">
        <f>'FORMATO PROPUESTA ECONÓMICA'!B133</f>
        <v>PAVIMENTO</v>
      </c>
      <c r="D98" s="603">
        <f>'FORMATO PROPUESTA ECONÓMICA'!C133</f>
        <v>0</v>
      </c>
      <c r="E98" s="603"/>
      <c r="F98" s="608"/>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row>
    <row r="99" spans="1:41" x14ac:dyDescent="0.2">
      <c r="B99" s="601">
        <f>'FORMATO PROPUESTA ECONÓMICA'!A134</f>
        <v>11.1</v>
      </c>
      <c r="C99" s="602" t="str">
        <f>'FORMATO PROPUESTA ECONÓMICA'!B134</f>
        <v>Corte, demolición, retiro y botada de pavimento asfáltico.</v>
      </c>
      <c r="D99" s="601" t="str">
        <f>'FORMATO PROPUESTA ECONÓMICA'!C134</f>
        <v>m3</v>
      </c>
      <c r="E99" s="601">
        <f>'FORMATO PROPUESTA ECONÓMICA'!D134</f>
        <v>12.9</v>
      </c>
      <c r="F99" s="607"/>
      <c r="G99" s="587"/>
      <c r="H99" s="587"/>
      <c r="I99" s="587"/>
      <c r="J99" s="587"/>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7"/>
      <c r="AI99" s="587"/>
      <c r="AJ99" s="587"/>
      <c r="AK99" s="587"/>
      <c r="AL99" s="587"/>
      <c r="AM99" s="587"/>
      <c r="AN99" s="587"/>
      <c r="AO99" s="587"/>
    </row>
    <row r="100" spans="1:41" x14ac:dyDescent="0.2">
      <c r="B100" s="601">
        <f>'FORMATO PROPUESTA ECONÓMICA'!A135</f>
        <v>11.2</v>
      </c>
      <c r="C100" s="602" t="str">
        <f>'FORMATO PROPUESTA ECONÓMICA'!B135</f>
        <v>Corte, demolición, retiro y botada de pavimento rígido.</v>
      </c>
      <c r="D100" s="601" t="str">
        <f>'FORMATO PROPUESTA ECONÓMICA'!C135</f>
        <v>m3</v>
      </c>
      <c r="E100" s="601">
        <f>'FORMATO PROPUESTA ECONÓMICA'!D135</f>
        <v>499.6</v>
      </c>
      <c r="F100" s="607"/>
      <c r="G100" s="587"/>
      <c r="H100" s="587"/>
      <c r="I100" s="587"/>
      <c r="J100" s="587"/>
      <c r="K100" s="587"/>
      <c r="L100" s="587"/>
      <c r="M100" s="587"/>
      <c r="N100" s="587"/>
      <c r="O100" s="587"/>
      <c r="P100" s="587"/>
      <c r="Q100" s="587"/>
      <c r="R100" s="587"/>
      <c r="S100" s="583"/>
      <c r="T100" s="583"/>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row>
    <row r="101" spans="1:41" x14ac:dyDescent="0.2">
      <c r="B101" s="601">
        <f>'FORMATO PROPUESTA ECONÓMICA'!A136</f>
        <v>11.3</v>
      </c>
      <c r="C101" s="602" t="str">
        <f>'FORMATO PROPUESTA ECONÓMICA'!B136</f>
        <v xml:space="preserve">Suministro, transporte y Colocación de concreto para la  reconstrucción de pavimentos rígidos con módulo de rotura igual o superior a 28MPa , para parcheo de zanjas y apiques. </v>
      </c>
      <c r="D101" s="601" t="str">
        <f>'FORMATO PROPUESTA ECONÓMICA'!C136</f>
        <v>m3</v>
      </c>
      <c r="E101" s="601">
        <f>'FORMATO PROPUESTA ECONÓMICA'!D136</f>
        <v>499.6</v>
      </c>
      <c r="F101" s="607"/>
      <c r="G101" s="587"/>
      <c r="H101" s="587"/>
      <c r="I101" s="587"/>
      <c r="J101" s="587"/>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7"/>
      <c r="AJ101" s="587"/>
      <c r="AK101" s="587"/>
      <c r="AL101" s="587"/>
      <c r="AM101" s="587"/>
      <c r="AN101" s="587"/>
      <c r="AO101" s="587"/>
    </row>
    <row r="102" spans="1:41" x14ac:dyDescent="0.2">
      <c r="B102" s="601">
        <f>'FORMATO PROPUESTA ECONÓMICA'!A137</f>
        <v>11.4</v>
      </c>
      <c r="C102" s="602" t="str">
        <f>'FORMATO PROPUESTA ECONÓMICA'!B137</f>
        <v xml:space="preserve">Suministro, transporte, colocación y compactación de pavimento asfáltico, para parcheo de zanjas y apiques (incluye riego de liga) </v>
      </c>
      <c r="D102" s="601" t="str">
        <f>'FORMATO PROPUESTA ECONÓMICA'!C137</f>
        <v>m3</v>
      </c>
      <c r="E102" s="601">
        <f>'FORMATO PROPUESTA ECONÓMICA'!D137</f>
        <v>12.9</v>
      </c>
      <c r="F102" s="607"/>
      <c r="G102" s="587"/>
      <c r="H102" s="587"/>
      <c r="I102" s="587"/>
      <c r="J102" s="587"/>
      <c r="K102" s="587"/>
      <c r="L102" s="587"/>
      <c r="M102" s="587"/>
      <c r="N102" s="587"/>
      <c r="O102" s="587"/>
      <c r="P102" s="587"/>
      <c r="Q102" s="587"/>
      <c r="R102" s="587"/>
      <c r="S102" s="583"/>
      <c r="T102" s="583"/>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row>
    <row r="103" spans="1:41" hidden="1" x14ac:dyDescent="0.2">
      <c r="A103" s="573"/>
      <c r="B103" s="603">
        <f>'FORMATO PROPUESTA ECONÓMICA'!A138</f>
        <v>12</v>
      </c>
      <c r="C103" s="604" t="str">
        <f>'FORMATO PROPUESTA ECONÓMICA'!B138</f>
        <v>GEOREFERENCIACION</v>
      </c>
      <c r="D103" s="603">
        <f>'FORMATO PROPUESTA ECONÓMICA'!C138</f>
        <v>0</v>
      </c>
      <c r="E103" s="603"/>
      <c r="F103" s="609"/>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row>
    <row r="104" spans="1:41" hidden="1" x14ac:dyDescent="0.2">
      <c r="B104" s="601">
        <f>'FORMATO PROPUESTA ECONÓMICA'!A139</f>
        <v>12.1</v>
      </c>
      <c r="C104" s="602" t="str">
        <f>'FORMATO PROPUESTA ECONÓMICA'!B139</f>
        <v xml:space="preserve">Refererenciación de redes por elemento </v>
      </c>
      <c r="D104" s="601" t="str">
        <f>'FORMATO PROPUESTA ECONÓMICA'!C139</f>
        <v>und</v>
      </c>
      <c r="E104" s="601">
        <f>'FORMATO PROPUESTA ECONÓMICA'!D139</f>
        <v>1101</v>
      </c>
      <c r="F104" s="60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3"/>
      <c r="AM104" s="583"/>
      <c r="AN104" s="583"/>
      <c r="AO104" s="583"/>
    </row>
  </sheetData>
  <mergeCells count="10">
    <mergeCell ref="D1:O1"/>
    <mergeCell ref="D2:O2"/>
    <mergeCell ref="C3:AK3"/>
    <mergeCell ref="D4:O4"/>
    <mergeCell ref="F6:AP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3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4"/>
  <sheetViews>
    <sheetView view="pageBreakPreview" zoomScale="80" zoomScaleNormal="100" zoomScaleSheetLayoutView="80" workbookViewId="0">
      <selection activeCell="G70" sqref="G70"/>
    </sheetView>
  </sheetViews>
  <sheetFormatPr baseColWidth="10" defaultRowHeight="15" x14ac:dyDescent="0.25"/>
  <cols>
    <col min="1" max="1" width="12" style="21" customWidth="1"/>
    <col min="2" max="2" width="11.42578125" style="21"/>
    <col min="3" max="3" width="21.7109375" style="572" customWidth="1"/>
    <col min="4" max="4" width="16.140625" style="572" customWidth="1"/>
    <col min="5" max="5" width="38.28515625" style="572" customWidth="1"/>
    <col min="6" max="16384" width="11.42578125" style="21"/>
  </cols>
  <sheetData>
    <row r="3" spans="1:5" ht="15.75" x14ac:dyDescent="0.25">
      <c r="A3" s="1409" t="str">
        <f>'[1]Presupuesto Total'!A2:G2</f>
        <v>AGUAS REGIONALES  EPM S.A. E.S.P.</v>
      </c>
      <c r="B3" s="1409"/>
      <c r="C3" s="1409"/>
      <c r="D3" s="1409"/>
      <c r="E3" s="1409"/>
    </row>
    <row r="4" spans="1:5" ht="15.75" x14ac:dyDescent="0.25">
      <c r="A4" s="1409" t="str">
        <f>'[1]Presupuesto Total'!A3:G3</f>
        <v>OPTIMIZACIÓN REDES DE ACUEDUCTO, MUNICIPIO DE TURBO, ANTIOQUIA</v>
      </c>
      <c r="B4" s="1409"/>
      <c r="C4" s="1409"/>
      <c r="D4" s="1409"/>
      <c r="E4" s="1409"/>
    </row>
    <row r="5" spans="1:5" ht="15.75" x14ac:dyDescent="0.25">
      <c r="A5" s="564"/>
      <c r="B5" s="564"/>
      <c r="C5" s="564"/>
      <c r="D5" s="564"/>
      <c r="E5" s="564"/>
    </row>
    <row r="6" spans="1:5" ht="15.75" x14ac:dyDescent="0.25">
      <c r="A6" s="1410" t="s">
        <v>354</v>
      </c>
      <c r="B6" s="1410"/>
      <c r="C6" s="1410"/>
      <c r="D6" s="1410"/>
      <c r="E6" s="1410"/>
    </row>
    <row r="7" spans="1:5" ht="15.75" thickBot="1" x14ac:dyDescent="0.3">
      <c r="C7" s="565"/>
      <c r="D7" s="565"/>
      <c r="E7" s="565"/>
    </row>
    <row r="8" spans="1:5" x14ac:dyDescent="0.25">
      <c r="A8" s="1411" t="s">
        <v>1</v>
      </c>
      <c r="B8" s="1397"/>
      <c r="C8" s="1388"/>
      <c r="D8" s="566" t="s">
        <v>355</v>
      </c>
      <c r="E8" s="567" t="s">
        <v>5</v>
      </c>
    </row>
    <row r="9" spans="1:5" ht="63.75" x14ac:dyDescent="0.25">
      <c r="A9" s="1398" t="s">
        <v>356</v>
      </c>
      <c r="B9" s="1399"/>
      <c r="C9" s="1399"/>
      <c r="D9" s="568">
        <v>0.08</v>
      </c>
      <c r="E9" s="569" t="s">
        <v>357</v>
      </c>
    </row>
    <row r="10" spans="1:5" ht="89.25" x14ac:dyDescent="0.25">
      <c r="A10" s="1398" t="s">
        <v>358</v>
      </c>
      <c r="B10" s="1399"/>
      <c r="C10" s="1399"/>
      <c r="D10" s="568">
        <v>0.6</v>
      </c>
      <c r="E10" s="569" t="s">
        <v>359</v>
      </c>
    </row>
    <row r="11" spans="1:5" ht="25.5" x14ac:dyDescent="0.25">
      <c r="A11" s="1398" t="s">
        <v>360</v>
      </c>
      <c r="B11" s="1399"/>
      <c r="C11" s="1399"/>
      <c r="D11" s="568">
        <v>0.6</v>
      </c>
      <c r="E11" s="569" t="s">
        <v>361</v>
      </c>
    </row>
    <row r="12" spans="1:5" ht="51" x14ac:dyDescent="0.25">
      <c r="A12" s="1400" t="s">
        <v>362</v>
      </c>
      <c r="B12" s="1401"/>
      <c r="C12" s="1402"/>
      <c r="D12" s="568">
        <v>8</v>
      </c>
      <c r="E12" s="569" t="s">
        <v>363</v>
      </c>
    </row>
    <row r="13" spans="1:5" ht="51.75" thickBot="1" x14ac:dyDescent="0.3">
      <c r="A13" s="1403" t="s">
        <v>364</v>
      </c>
      <c r="B13" s="1404"/>
      <c r="C13" s="1405"/>
      <c r="D13" s="570">
        <v>0.5</v>
      </c>
      <c r="E13" s="571" t="s">
        <v>365</v>
      </c>
    </row>
    <row r="14" spans="1:5" ht="60.75" customHeight="1" thickBot="1" x14ac:dyDescent="0.3">
      <c r="A14" s="1406" t="s">
        <v>12</v>
      </c>
      <c r="B14" s="1407"/>
      <c r="C14" s="1408"/>
      <c r="D14" s="570">
        <v>0.6</v>
      </c>
      <c r="E14" s="571" t="s">
        <v>373</v>
      </c>
    </row>
  </sheetData>
  <mergeCells count="10">
    <mergeCell ref="A11:C11"/>
    <mergeCell ref="A12:C12"/>
    <mergeCell ref="A13:C13"/>
    <mergeCell ref="A14:C14"/>
    <mergeCell ref="A3:E3"/>
    <mergeCell ref="A4:E4"/>
    <mergeCell ref="A6:E6"/>
    <mergeCell ref="A8:C8"/>
    <mergeCell ref="A9:C9"/>
    <mergeCell ref="A10:C10"/>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view="pageBreakPreview" zoomScale="70" zoomScaleNormal="100" zoomScaleSheetLayoutView="70" workbookViewId="0">
      <selection activeCell="G70" sqref="G70"/>
    </sheetView>
  </sheetViews>
  <sheetFormatPr baseColWidth="10" defaultRowHeight="15" x14ac:dyDescent="0.25"/>
  <cols>
    <col min="1" max="1" width="8.140625" style="21" customWidth="1"/>
    <col min="2" max="2" width="62.85546875" style="21" customWidth="1"/>
    <col min="3" max="3" width="22.140625" style="21" customWidth="1"/>
    <col min="4" max="4" width="9.140625" style="21" customWidth="1"/>
    <col min="5" max="5" width="9.42578125" style="21" customWidth="1"/>
    <col min="6" max="6" width="18.85546875" style="21" customWidth="1"/>
    <col min="7" max="7" width="17.42578125" style="21" customWidth="1"/>
    <col min="8" max="16384" width="11.42578125" style="21"/>
  </cols>
  <sheetData>
    <row r="1" spans="1:7" ht="24" thickBot="1" x14ac:dyDescent="0.3">
      <c r="A1" s="1412" t="s">
        <v>480</v>
      </c>
      <c r="B1" s="1413"/>
      <c r="C1" s="1413"/>
      <c r="D1" s="1413"/>
      <c r="E1" s="1413"/>
      <c r="F1" s="1413"/>
      <c r="G1" s="1414"/>
    </row>
    <row r="2" spans="1:7" ht="27" thickBot="1" x14ac:dyDescent="0.3">
      <c r="A2" s="1020" t="s">
        <v>43</v>
      </c>
      <c r="B2" s="1020" t="s">
        <v>1</v>
      </c>
      <c r="C2" s="1020" t="s">
        <v>481</v>
      </c>
      <c r="D2" s="1020" t="s">
        <v>482</v>
      </c>
      <c r="E2" s="1020" t="s">
        <v>483</v>
      </c>
      <c r="F2" s="1020" t="s">
        <v>484</v>
      </c>
      <c r="G2" s="1020" t="s">
        <v>5</v>
      </c>
    </row>
    <row r="3" spans="1:7" ht="15.75" thickBot="1" x14ac:dyDescent="0.3">
      <c r="A3" s="1415" t="s">
        <v>485</v>
      </c>
      <c r="B3" s="1416"/>
      <c r="C3" s="1416"/>
      <c r="D3" s="1416"/>
      <c r="E3" s="1416"/>
      <c r="F3" s="1416"/>
      <c r="G3" s="1417"/>
    </row>
    <row r="4" spans="1:7" ht="51.75" x14ac:dyDescent="0.25">
      <c r="A4" s="1021">
        <v>1</v>
      </c>
      <c r="B4" s="1022" t="s">
        <v>486</v>
      </c>
      <c r="C4" s="1023" t="s">
        <v>487</v>
      </c>
      <c r="D4" s="1024" t="s">
        <v>488</v>
      </c>
      <c r="E4" s="1025">
        <v>1</v>
      </c>
      <c r="F4" s="1026">
        <v>30201783</v>
      </c>
      <c r="G4" s="1026">
        <f t="shared" ref="G4:G8" si="0">E4*F4</f>
        <v>30201783</v>
      </c>
    </row>
    <row r="5" spans="1:7" ht="39" x14ac:dyDescent="0.25">
      <c r="A5" s="1027">
        <f>A4+1</f>
        <v>2</v>
      </c>
      <c r="B5" s="1028" t="s">
        <v>489</v>
      </c>
      <c r="C5" s="1029" t="s">
        <v>490</v>
      </c>
      <c r="D5" s="1030" t="s">
        <v>482</v>
      </c>
      <c r="E5" s="1031">
        <v>1</v>
      </c>
      <c r="F5" s="1032">
        <f>('[2]COSTOS MACROS'!D6*35%+'[2]COSTOS MACROS'!D6)*[2]RESUMEN_COSTOS!C11</f>
        <v>26181683.999999996</v>
      </c>
      <c r="G5" s="1026">
        <f t="shared" si="0"/>
        <v>26181683.999999996</v>
      </c>
    </row>
    <row r="6" spans="1:7" ht="39" x14ac:dyDescent="0.25">
      <c r="A6" s="1027">
        <f t="shared" ref="A6:A8" si="1">A5+1</f>
        <v>3</v>
      </c>
      <c r="B6" s="1028" t="s">
        <v>491</v>
      </c>
      <c r="C6" s="1029" t="s">
        <v>492</v>
      </c>
      <c r="D6" s="1030" t="s">
        <v>482</v>
      </c>
      <c r="E6" s="1031">
        <v>1</v>
      </c>
      <c r="F6" s="1032">
        <v>9886564</v>
      </c>
      <c r="G6" s="1026">
        <f t="shared" si="0"/>
        <v>9886564</v>
      </c>
    </row>
    <row r="7" spans="1:7" ht="26.25" x14ac:dyDescent="0.25">
      <c r="A7" s="1027">
        <f t="shared" si="1"/>
        <v>4</v>
      </c>
      <c r="B7" s="1028" t="s">
        <v>493</v>
      </c>
      <c r="C7" s="1029" t="s">
        <v>494</v>
      </c>
      <c r="D7" s="1030" t="s">
        <v>482</v>
      </c>
      <c r="E7" s="1031">
        <v>1</v>
      </c>
      <c r="F7" s="1033">
        <v>14029236</v>
      </c>
      <c r="G7" s="1026">
        <f t="shared" si="0"/>
        <v>14029236</v>
      </c>
    </row>
    <row r="8" spans="1:7" ht="27" thickBot="1" x14ac:dyDescent="0.3">
      <c r="A8" s="1034">
        <f t="shared" si="1"/>
        <v>5</v>
      </c>
      <c r="B8" s="1035" t="s">
        <v>495</v>
      </c>
      <c r="C8" s="1036" t="s">
        <v>496</v>
      </c>
      <c r="D8" s="1037" t="s">
        <v>482</v>
      </c>
      <c r="E8" s="1038">
        <v>1</v>
      </c>
      <c r="F8" s="1039">
        <v>1340800</v>
      </c>
      <c r="G8" s="1026">
        <f t="shared" si="0"/>
        <v>1340800</v>
      </c>
    </row>
    <row r="9" spans="1:7" ht="15.75" thickBot="1" x14ac:dyDescent="0.3">
      <c r="A9" s="1418" t="s">
        <v>497</v>
      </c>
      <c r="B9" s="1419"/>
      <c r="C9" s="1419"/>
      <c r="D9" s="1419"/>
      <c r="E9" s="1419"/>
      <c r="F9" s="1419"/>
      <c r="G9" s="1420"/>
    </row>
    <row r="10" spans="1:7" ht="27" thickBot="1" x14ac:dyDescent="0.3">
      <c r="A10" s="1040">
        <v>1</v>
      </c>
      <c r="B10" s="1041" t="s">
        <v>498</v>
      </c>
      <c r="C10" s="1041"/>
      <c r="D10" s="1024" t="s">
        <v>488</v>
      </c>
      <c r="E10" s="1042">
        <v>1</v>
      </c>
      <c r="F10" s="1043">
        <v>15820000</v>
      </c>
      <c r="G10" s="1043">
        <f>E10*F10</f>
        <v>15820000</v>
      </c>
    </row>
    <row r="11" spans="1:7" ht="15.75" thickBot="1" x14ac:dyDescent="0.3">
      <c r="A11" s="1418" t="s">
        <v>499</v>
      </c>
      <c r="B11" s="1419"/>
      <c r="C11" s="1419"/>
      <c r="D11" s="1419"/>
      <c r="E11" s="1419"/>
      <c r="F11" s="1419"/>
      <c r="G11" s="1420"/>
    </row>
    <row r="12" spans="1:7" ht="39" x14ac:dyDescent="0.25">
      <c r="A12" s="1021">
        <v>1</v>
      </c>
      <c r="B12" s="1022" t="s">
        <v>500</v>
      </c>
      <c r="C12" s="1023" t="s">
        <v>501</v>
      </c>
      <c r="D12" s="1024" t="s">
        <v>482</v>
      </c>
      <c r="E12" s="1025">
        <v>1</v>
      </c>
      <c r="F12" s="1044">
        <v>6500000</v>
      </c>
      <c r="G12" s="1044">
        <f>E12*F12</f>
        <v>6500000</v>
      </c>
    </row>
    <row r="13" spans="1:7" ht="26.25" x14ac:dyDescent="0.25">
      <c r="A13" s="1027">
        <f>A12+1</f>
        <v>2</v>
      </c>
      <c r="B13" s="1028" t="s">
        <v>502</v>
      </c>
      <c r="C13" s="1029" t="s">
        <v>503</v>
      </c>
      <c r="D13" s="1030" t="s">
        <v>482</v>
      </c>
      <c r="E13" s="1031">
        <v>1</v>
      </c>
      <c r="F13" s="1033">
        <v>31600000</v>
      </c>
      <c r="G13" s="1044">
        <f t="shared" ref="G13:G15" si="2">E13*F13</f>
        <v>31600000</v>
      </c>
    </row>
    <row r="14" spans="1:7" ht="51.75" x14ac:dyDescent="0.25">
      <c r="A14" s="1027">
        <f t="shared" ref="A14:A15" si="3">A13+1</f>
        <v>3</v>
      </c>
      <c r="B14" s="1028" t="s">
        <v>504</v>
      </c>
      <c r="C14" s="1029" t="s">
        <v>505</v>
      </c>
      <c r="D14" s="1024" t="s">
        <v>488</v>
      </c>
      <c r="E14" s="1031">
        <v>1</v>
      </c>
      <c r="F14" s="1032">
        <v>37654390</v>
      </c>
      <c r="G14" s="1044">
        <f t="shared" ref="G14" si="4">F14*E14</f>
        <v>37654390</v>
      </c>
    </row>
    <row r="15" spans="1:7" x14ac:dyDescent="0.25">
      <c r="A15" s="1027">
        <f t="shared" si="3"/>
        <v>4</v>
      </c>
      <c r="B15" s="1028" t="s">
        <v>506</v>
      </c>
      <c r="C15" s="1029" t="s">
        <v>507</v>
      </c>
      <c r="D15" s="1024" t="s">
        <v>488</v>
      </c>
      <c r="E15" s="1031">
        <v>1</v>
      </c>
      <c r="F15" s="1032">
        <v>7398284</v>
      </c>
      <c r="G15" s="1044">
        <f t="shared" si="2"/>
        <v>7398284</v>
      </c>
    </row>
    <row r="16" spans="1:7" x14ac:dyDescent="0.25">
      <c r="A16" s="1421" t="s">
        <v>508</v>
      </c>
      <c r="B16" s="1422"/>
      <c r="C16" s="1422"/>
      <c r="D16" s="1422"/>
      <c r="E16" s="1422"/>
      <c r="F16" s="1423"/>
      <c r="G16" s="1045">
        <f>SUM(G4:G8)+G10+SUM(G12:G15)</f>
        <v>180612741</v>
      </c>
    </row>
  </sheetData>
  <mergeCells count="5">
    <mergeCell ref="A1:G1"/>
    <mergeCell ref="A3:G3"/>
    <mergeCell ref="A9:G9"/>
    <mergeCell ref="A11:G11"/>
    <mergeCell ref="A16:F16"/>
  </mergeCells>
  <pageMargins left="0.7" right="0.7" top="0.75" bottom="0.75" header="0.3" footer="0.3"/>
  <pageSetup paperSize="9" scale="5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60" zoomScaleNormal="100" workbookViewId="0">
      <selection activeCell="G70" sqref="G70"/>
    </sheetView>
  </sheetViews>
  <sheetFormatPr baseColWidth="10" defaultRowHeight="15" x14ac:dyDescent="0.25"/>
  <cols>
    <col min="1" max="1" width="8.140625" style="21" customWidth="1"/>
    <col min="2" max="2" width="62.85546875" style="21" customWidth="1"/>
    <col min="3" max="3" width="22.85546875" style="21" customWidth="1"/>
    <col min="4" max="4" width="9.140625" style="21" customWidth="1"/>
    <col min="5" max="5" width="9.42578125" style="21" customWidth="1"/>
    <col min="6" max="6" width="18.85546875" style="21" customWidth="1"/>
    <col min="7" max="7" width="17.42578125" style="21" customWidth="1"/>
    <col min="8" max="8" width="15.5703125" style="21" bestFit="1" customWidth="1"/>
    <col min="9" max="16384" width="11.42578125" style="21"/>
  </cols>
  <sheetData>
    <row r="1" spans="1:8" ht="24" thickBot="1" x14ac:dyDescent="0.3">
      <c r="A1" s="1412" t="s">
        <v>509</v>
      </c>
      <c r="B1" s="1413"/>
      <c r="C1" s="1413"/>
      <c r="D1" s="1413"/>
      <c r="E1" s="1413"/>
      <c r="F1" s="1413"/>
      <c r="G1" s="1414"/>
    </row>
    <row r="2" spans="1:8" ht="27" thickBot="1" x14ac:dyDescent="0.3">
      <c r="A2" s="1020" t="s">
        <v>43</v>
      </c>
      <c r="B2" s="1020" t="s">
        <v>1</v>
      </c>
      <c r="C2" s="1020" t="s">
        <v>481</v>
      </c>
      <c r="D2" s="1020" t="s">
        <v>482</v>
      </c>
      <c r="E2" s="1020" t="s">
        <v>483</v>
      </c>
      <c r="F2" s="1020" t="s">
        <v>484</v>
      </c>
      <c r="G2" s="1020" t="s">
        <v>5</v>
      </c>
    </row>
    <row r="3" spans="1:8" ht="15.75" thickBot="1" x14ac:dyDescent="0.3">
      <c r="A3" s="1415" t="s">
        <v>485</v>
      </c>
      <c r="B3" s="1416"/>
      <c r="C3" s="1416"/>
      <c r="D3" s="1416"/>
      <c r="E3" s="1416"/>
      <c r="F3" s="1416"/>
      <c r="G3" s="1417"/>
    </row>
    <row r="4" spans="1:8" ht="51.75" x14ac:dyDescent="0.25">
      <c r="A4" s="1021">
        <v>1</v>
      </c>
      <c r="B4" s="1022" t="s">
        <v>510</v>
      </c>
      <c r="C4" s="1023" t="s">
        <v>487</v>
      </c>
      <c r="D4" s="1024" t="s">
        <v>488</v>
      </c>
      <c r="E4" s="1025">
        <v>1</v>
      </c>
      <c r="F4" s="1026">
        <v>43948123</v>
      </c>
      <c r="G4" s="1026">
        <f t="shared" ref="G4:G8" si="0">E4*F4</f>
        <v>43948123</v>
      </c>
      <c r="H4" s="616"/>
    </row>
    <row r="5" spans="1:8" ht="39" x14ac:dyDescent="0.25">
      <c r="A5" s="1027">
        <f>A4+1</f>
        <v>2</v>
      </c>
      <c r="B5" s="1035" t="s">
        <v>511</v>
      </c>
      <c r="C5" s="1029" t="s">
        <v>490</v>
      </c>
      <c r="D5" s="1037" t="s">
        <v>482</v>
      </c>
      <c r="E5" s="1038">
        <v>1</v>
      </c>
      <c r="F5" s="1039">
        <f>('[2]COSTOS MACROS'!D7*35%+'[2]COSTOS MACROS'!D7)*[2]RESUMEN_COSTOS!C11</f>
        <v>36122517</v>
      </c>
      <c r="G5" s="1026">
        <f t="shared" si="0"/>
        <v>36122517</v>
      </c>
      <c r="H5" s="616"/>
    </row>
    <row r="6" spans="1:8" ht="39" x14ac:dyDescent="0.25">
      <c r="A6" s="1027">
        <f t="shared" ref="A6:A8" si="1">A5+1</f>
        <v>3</v>
      </c>
      <c r="B6" s="1028" t="s">
        <v>512</v>
      </c>
      <c r="C6" s="1029" t="s">
        <v>492</v>
      </c>
      <c r="D6" s="1030" t="s">
        <v>482</v>
      </c>
      <c r="E6" s="1031">
        <v>1</v>
      </c>
      <c r="F6" s="1032">
        <v>14767151</v>
      </c>
      <c r="G6" s="1026">
        <f t="shared" si="0"/>
        <v>14767151</v>
      </c>
      <c r="H6" s="616"/>
    </row>
    <row r="7" spans="1:8" ht="26.25" x14ac:dyDescent="0.25">
      <c r="A7" s="1027">
        <f t="shared" si="1"/>
        <v>4</v>
      </c>
      <c r="B7" s="1022" t="s">
        <v>513</v>
      </c>
      <c r="C7" s="1029" t="s">
        <v>494</v>
      </c>
      <c r="D7" s="1024" t="s">
        <v>482</v>
      </c>
      <c r="E7" s="1025">
        <v>1</v>
      </c>
      <c r="F7" s="1044">
        <v>14889716</v>
      </c>
      <c r="G7" s="1026">
        <f t="shared" si="0"/>
        <v>14889716</v>
      </c>
      <c r="H7" s="616"/>
    </row>
    <row r="8" spans="1:8" ht="27" thickBot="1" x14ac:dyDescent="0.3">
      <c r="A8" s="1034">
        <f t="shared" si="1"/>
        <v>5</v>
      </c>
      <c r="B8" s="1035" t="s">
        <v>495</v>
      </c>
      <c r="C8" s="1036" t="s">
        <v>496</v>
      </c>
      <c r="D8" s="1037" t="s">
        <v>482</v>
      </c>
      <c r="E8" s="1038">
        <v>1</v>
      </c>
      <c r="F8" s="1039">
        <v>1340800</v>
      </c>
      <c r="G8" s="1026">
        <f t="shared" si="0"/>
        <v>1340800</v>
      </c>
      <c r="H8" s="616"/>
    </row>
    <row r="9" spans="1:8" ht="15.75" thickBot="1" x14ac:dyDescent="0.3">
      <c r="A9" s="1418" t="s">
        <v>499</v>
      </c>
      <c r="B9" s="1419"/>
      <c r="C9" s="1419"/>
      <c r="D9" s="1419"/>
      <c r="E9" s="1419"/>
      <c r="F9" s="1419"/>
      <c r="G9" s="1420"/>
      <c r="H9" s="616"/>
    </row>
    <row r="10" spans="1:8" ht="39" x14ac:dyDescent="0.25">
      <c r="A10" s="1027">
        <v>1</v>
      </c>
      <c r="B10" s="1028" t="s">
        <v>514</v>
      </c>
      <c r="C10" s="1028"/>
      <c r="D10" s="1024" t="s">
        <v>488</v>
      </c>
      <c r="E10" s="1031">
        <v>1</v>
      </c>
      <c r="F10" s="1033">
        <v>5000000</v>
      </c>
      <c r="G10" s="1044">
        <f t="shared" ref="G10" si="2">E10*F10</f>
        <v>5000000</v>
      </c>
      <c r="H10" s="616"/>
    </row>
    <row r="11" spans="1:8" ht="39" x14ac:dyDescent="0.25">
      <c r="A11" s="1027">
        <f t="shared" ref="A11" si="3">A10+1</f>
        <v>2</v>
      </c>
      <c r="B11" s="1028" t="s">
        <v>515</v>
      </c>
      <c r="C11" s="1029" t="s">
        <v>505</v>
      </c>
      <c r="D11" s="1024" t="s">
        <v>488</v>
      </c>
      <c r="E11" s="1031">
        <v>1</v>
      </c>
      <c r="F11" s="1032">
        <v>3756098</v>
      </c>
      <c r="G11" s="1044">
        <f t="shared" ref="G11" si="4">F11*E11</f>
        <v>3756098</v>
      </c>
    </row>
    <row r="12" spans="1:8" x14ac:dyDescent="0.25">
      <c r="A12" s="1421" t="s">
        <v>508</v>
      </c>
      <c r="B12" s="1422"/>
      <c r="C12" s="1422"/>
      <c r="D12" s="1422"/>
      <c r="E12" s="1422"/>
      <c r="F12" s="1423"/>
      <c r="G12" s="1045">
        <f>SUM(G4:G8)+SUM(G10:G11)</f>
        <v>119824405</v>
      </c>
    </row>
  </sheetData>
  <mergeCells count="4">
    <mergeCell ref="A1:G1"/>
    <mergeCell ref="A3:G3"/>
    <mergeCell ref="A9:G9"/>
    <mergeCell ref="A12:F12"/>
  </mergeCells>
  <pageMargins left="0.7" right="0.7" top="0.75" bottom="0.75" header="0.3" footer="0.3"/>
  <pageSetup paperSize="9"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0"/>
  <sheetViews>
    <sheetView topLeftCell="D99" workbookViewId="0">
      <selection activeCell="F20" sqref="F20"/>
    </sheetView>
  </sheetViews>
  <sheetFormatPr baseColWidth="10" defaultColWidth="9.140625" defaultRowHeight="15" x14ac:dyDescent="0.25"/>
  <cols>
    <col min="1" max="1" width="3.7109375" style="765" customWidth="1"/>
    <col min="2" max="2" width="11.28515625" style="765" customWidth="1"/>
    <col min="3" max="3" width="14.28515625" style="763" customWidth="1"/>
    <col min="4" max="4" width="9.28515625" style="765" customWidth="1"/>
    <col min="5" max="5" width="9.5703125" style="765" customWidth="1"/>
    <col min="6" max="6" width="51.28515625" style="765" customWidth="1"/>
    <col min="7" max="7" width="11" style="765" customWidth="1"/>
    <col min="8" max="8" width="12.42578125" style="765" customWidth="1"/>
    <col min="9" max="9" width="17.7109375" style="765" customWidth="1"/>
    <col min="10" max="10" width="21" style="765" bestFit="1" customWidth="1"/>
    <col min="11" max="11" width="3.7109375" style="765" customWidth="1"/>
    <col min="12" max="12" width="21.42578125" style="765" customWidth="1"/>
    <col min="13" max="14" width="21.7109375" style="765" customWidth="1"/>
    <col min="15" max="15" width="25.5703125" style="765" customWidth="1"/>
    <col min="16" max="16" width="24.7109375" style="765" customWidth="1"/>
    <col min="17" max="16384" width="9.140625" style="765"/>
  </cols>
  <sheetData>
    <row r="2" spans="2:16" x14ac:dyDescent="0.25">
      <c r="C2" s="1426" t="s">
        <v>467</v>
      </c>
      <c r="D2" s="1426"/>
      <c r="E2" s="1426"/>
      <c r="F2" s="1426"/>
      <c r="G2" s="1426"/>
      <c r="H2" s="1426"/>
      <c r="I2" s="1426"/>
      <c r="J2" s="1426"/>
    </row>
    <row r="3" spans="2:16" x14ac:dyDescent="0.25">
      <c r="C3" s="1426"/>
      <c r="D3" s="1426"/>
      <c r="E3" s="1426"/>
      <c r="F3" s="1426"/>
      <c r="G3" s="1426"/>
      <c r="H3" s="1426"/>
      <c r="I3" s="1426"/>
      <c r="J3" s="1426"/>
    </row>
    <row r="4" spans="2:16" x14ac:dyDescent="0.25">
      <c r="C4" s="799"/>
      <c r="D4" s="799"/>
      <c r="E4" s="799"/>
      <c r="F4" s="710" t="s">
        <v>468</v>
      </c>
      <c r="G4" s="799"/>
      <c r="H4" s="799"/>
      <c r="I4" s="799"/>
      <c r="J4" s="799"/>
    </row>
    <row r="7" spans="2:16" ht="30" x14ac:dyDescent="0.25">
      <c r="C7" s="747" t="s">
        <v>53</v>
      </c>
      <c r="D7" s="747" t="s">
        <v>0</v>
      </c>
      <c r="E7" s="747" t="s">
        <v>43</v>
      </c>
      <c r="F7" s="747" t="s">
        <v>1</v>
      </c>
      <c r="G7" s="748" t="s">
        <v>2</v>
      </c>
      <c r="H7" s="748" t="s">
        <v>3</v>
      </c>
      <c r="I7" s="748" t="s">
        <v>4</v>
      </c>
      <c r="J7" s="748" t="s">
        <v>5</v>
      </c>
    </row>
    <row r="8" spans="2:16" x14ac:dyDescent="0.25">
      <c r="C8" s="747"/>
      <c r="D8" s="747"/>
      <c r="E8" s="747"/>
      <c r="F8" s="747"/>
      <c r="G8" s="747"/>
      <c r="H8" s="747"/>
      <c r="I8" s="747"/>
      <c r="J8" s="747"/>
    </row>
    <row r="9" spans="2:16" x14ac:dyDescent="0.25">
      <c r="C9" s="747"/>
      <c r="D9" s="747"/>
      <c r="E9" s="747"/>
      <c r="F9" s="800" t="s">
        <v>19</v>
      </c>
      <c r="G9" s="747"/>
      <c r="H9" s="747"/>
      <c r="I9" s="747"/>
      <c r="J9" s="747"/>
    </row>
    <row r="10" spans="2:16" x14ac:dyDescent="0.25">
      <c r="B10" s="763"/>
      <c r="C10" s="801"/>
      <c r="D10" s="801"/>
      <c r="E10" s="617">
        <v>1</v>
      </c>
      <c r="F10" s="802" t="s">
        <v>54</v>
      </c>
      <c r="G10" s="802"/>
      <c r="H10" s="803"/>
      <c r="I10" s="804" t="str">
        <f>IF(D10="","",VLOOKUP(D10,#REF!,7,0))</f>
        <v/>
      </c>
      <c r="J10" s="803" t="str">
        <f>IF(ISERROR(+H10*I10),"",+H10*I10)</f>
        <v/>
      </c>
    </row>
    <row r="11" spans="2:16" ht="30" x14ac:dyDescent="0.25">
      <c r="B11" s="763"/>
      <c r="C11" s="752" t="e">
        <f>'FORMATO PROPUESTA ECONÓMICA'!#REF!</f>
        <v>#REF!</v>
      </c>
      <c r="D11" s="753"/>
      <c r="E11" s="620">
        <f>'FORMATO PROPUESTA ECONÓMICA'!A8</f>
        <v>1.1000000000000001</v>
      </c>
      <c r="F11" s="638" t="s">
        <v>55</v>
      </c>
      <c r="G11" s="622" t="s">
        <v>16</v>
      </c>
      <c r="H11" s="754">
        <f>H65*0.4</f>
        <v>240</v>
      </c>
      <c r="I11" s="623">
        <f>'FORMATO PROPUESTA ECONÓMICA'!E8</f>
        <v>0</v>
      </c>
      <c r="J11" s="623">
        <f>IF(ISERROR(+H11*I11),"",+H11*I11)</f>
        <v>0</v>
      </c>
      <c r="K11" s="764"/>
      <c r="M11" s="1119"/>
    </row>
    <row r="12" spans="2:16" x14ac:dyDescent="0.25">
      <c r="B12" s="763"/>
      <c r="C12" s="752" t="e">
        <f>'FORMATO PROPUESTA ECONÓMICA'!#REF!</f>
        <v>#REF!</v>
      </c>
      <c r="D12" s="753"/>
      <c r="E12" s="620">
        <f>'FORMATO PROPUESTA ECONÓMICA'!A9</f>
        <v>1.2</v>
      </c>
      <c r="F12" s="621" t="s">
        <v>56</v>
      </c>
      <c r="G12" s="622" t="s">
        <v>16</v>
      </c>
      <c r="H12" s="754">
        <f>+H11*0.4</f>
        <v>96</v>
      </c>
      <c r="I12" s="623">
        <f>'FORMATO PROPUESTA ECONÓMICA'!E9</f>
        <v>0</v>
      </c>
      <c r="J12" s="623">
        <f>IF(ISERROR(+H12*I12),"",+H12*I12)</f>
        <v>0</v>
      </c>
      <c r="K12" s="764"/>
      <c r="M12" s="1119"/>
      <c r="O12" s="764"/>
    </row>
    <row r="13" spans="2:16" x14ac:dyDescent="0.25">
      <c r="B13" s="763"/>
      <c r="C13" s="752" t="e">
        <f>'FORMATO PROPUESTA ECONÓMICA'!#REF!</f>
        <v>#REF!</v>
      </c>
      <c r="D13" s="753"/>
      <c r="E13" s="620">
        <f>'FORMATO PROPUESTA ECONÓMICA'!A10</f>
        <v>1.3</v>
      </c>
      <c r="F13" s="621" t="s">
        <v>57</v>
      </c>
      <c r="G13" s="622" t="s">
        <v>59</v>
      </c>
      <c r="H13" s="757">
        <v>70</v>
      </c>
      <c r="I13" s="623">
        <f>'FORMATO PROPUESTA ECONÓMICA'!E10</f>
        <v>0</v>
      </c>
      <c r="J13" s="623">
        <f>IF(ISERROR(+H13*I13),"",+H13*I13)</f>
        <v>0</v>
      </c>
      <c r="K13" s="764"/>
      <c r="M13" s="1119"/>
      <c r="O13" s="764"/>
    </row>
    <row r="14" spans="2:16" x14ac:dyDescent="0.25">
      <c r="B14" s="763"/>
      <c r="C14" s="752" t="e">
        <f>'FORMATO PROPUESTA ECONÓMICA'!#REF!</f>
        <v>#REF!</v>
      </c>
      <c r="D14" s="753"/>
      <c r="E14" s="620">
        <f>'FORMATO PROPUESTA ECONÓMICA'!A11</f>
        <v>1.4</v>
      </c>
      <c r="F14" s="621" t="s">
        <v>58</v>
      </c>
      <c r="G14" s="622" t="s">
        <v>59</v>
      </c>
      <c r="H14" s="757">
        <f>+H13</f>
        <v>70</v>
      </c>
      <c r="I14" s="623">
        <f>'FORMATO PROPUESTA ECONÓMICA'!E11</f>
        <v>0</v>
      </c>
      <c r="J14" s="623">
        <f>IF(ISERROR(+H14*I14),"",+H14*I14)</f>
        <v>0</v>
      </c>
      <c r="K14" s="764"/>
      <c r="M14" s="1119"/>
      <c r="O14" s="764"/>
    </row>
    <row r="15" spans="2:16" x14ac:dyDescent="0.25">
      <c r="B15" s="763"/>
      <c r="C15" s="801"/>
      <c r="D15" s="805"/>
      <c r="E15" s="732">
        <f>'FORMATO PROPUESTA ECONÓMICA'!A12</f>
        <v>2</v>
      </c>
      <c r="F15" s="806" t="s">
        <v>60</v>
      </c>
      <c r="G15" s="807"/>
      <c r="H15" s="803"/>
      <c r="I15" s="803"/>
      <c r="J15" s="803"/>
      <c r="K15" s="764"/>
      <c r="L15" s="712"/>
      <c r="M15" s="1119"/>
      <c r="N15" s="712"/>
      <c r="P15" s="765">
        <f>1.44*J15</f>
        <v>0</v>
      </c>
    </row>
    <row r="16" spans="2:16" x14ac:dyDescent="0.25">
      <c r="B16" s="763"/>
      <c r="C16" s="801"/>
      <c r="D16" s="805"/>
      <c r="E16" s="735">
        <f>'FORMATO PROPUESTA ECONÓMICA'!A13</f>
        <v>2.1</v>
      </c>
      <c r="F16" s="806" t="s">
        <v>61</v>
      </c>
      <c r="G16" s="807"/>
      <c r="H16" s="803"/>
      <c r="I16" s="803"/>
      <c r="J16" s="803"/>
      <c r="K16" s="764"/>
      <c r="L16" s="712"/>
      <c r="M16" s="1119"/>
      <c r="N16" s="712"/>
    </row>
    <row r="17" spans="2:15" ht="30" x14ac:dyDescent="0.25">
      <c r="B17" s="763"/>
      <c r="C17" s="752" t="e">
        <f>'FORMATO PROPUESTA ECONÓMICA'!#REF!</f>
        <v>#REF!</v>
      </c>
      <c r="D17" s="753"/>
      <c r="E17" s="634">
        <f>'FORMATO PROPUESTA ECONÓMICA'!A14</f>
        <v>2.2000000000000002</v>
      </c>
      <c r="F17" s="638" t="s">
        <v>62</v>
      </c>
      <c r="G17" s="622" t="s">
        <v>15</v>
      </c>
      <c r="H17" s="759">
        <f>H36*0.6*1.1+H65*0.4*0.6</f>
        <v>610.62</v>
      </c>
      <c r="I17" s="623">
        <f>'FORMATO PROPUESTA ECONÓMICA'!E14</f>
        <v>0</v>
      </c>
      <c r="J17" s="623">
        <f>IF(ISERROR(+H17*I17),"",+H17*I17)</f>
        <v>0</v>
      </c>
      <c r="K17" s="764"/>
      <c r="L17" s="712"/>
      <c r="M17" s="1119"/>
      <c r="N17" s="712"/>
    </row>
    <row r="18" spans="2:15" ht="45" hidden="1" x14ac:dyDescent="0.25">
      <c r="B18" s="763"/>
      <c r="C18" s="752" t="e">
        <f>'FORMATO PROPUESTA ECONÓMICA'!#REF!</f>
        <v>#REF!</v>
      </c>
      <c r="D18" s="753"/>
      <c r="E18" s="620">
        <f>'FORMATO PROPUESTA ECONÓMICA'!A15</f>
        <v>2.2999999999999998</v>
      </c>
      <c r="F18" s="638" t="s">
        <v>431</v>
      </c>
      <c r="G18" s="622"/>
      <c r="H18" s="759"/>
      <c r="I18" s="623">
        <f>'FORMATO PROPUESTA ECONÓMICA'!E15</f>
        <v>0</v>
      </c>
      <c r="J18" s="623">
        <f>IF(ISERROR(+H18*I18),"",+H18*I18)</f>
        <v>0</v>
      </c>
      <c r="K18" s="764"/>
      <c r="L18" s="712"/>
      <c r="M18" s="1119"/>
      <c r="N18" s="712"/>
    </row>
    <row r="19" spans="2:15" ht="75" x14ac:dyDescent="0.25">
      <c r="B19" s="763"/>
      <c r="C19" s="801"/>
      <c r="D19" s="805"/>
      <c r="E19" s="732">
        <f>'FORMATO PROPUESTA ECONÓMICA'!A17</f>
        <v>3</v>
      </c>
      <c r="F19" s="808" t="s">
        <v>63</v>
      </c>
      <c r="G19" s="807" t="s">
        <v>15</v>
      </c>
      <c r="H19" s="760"/>
      <c r="I19" s="803"/>
      <c r="J19" s="803"/>
      <c r="K19" s="764"/>
      <c r="L19" s="712"/>
      <c r="M19" s="1119"/>
      <c r="N19" s="712"/>
      <c r="O19" s="764"/>
    </row>
    <row r="20" spans="2:15" ht="30" x14ac:dyDescent="0.25">
      <c r="B20" s="763"/>
      <c r="C20" s="752" t="e">
        <f>'FORMATO PROPUESTA ECONÓMICA'!#REF!</f>
        <v>#REF!</v>
      </c>
      <c r="D20" s="753"/>
      <c r="E20" s="634">
        <f>'FORMATO PROPUESTA ECONÓMICA'!A18</f>
        <v>3.1</v>
      </c>
      <c r="F20" s="711" t="s">
        <v>64</v>
      </c>
      <c r="G20" s="622" t="s">
        <v>15</v>
      </c>
      <c r="H20" s="754">
        <f>H17*0.2</f>
        <v>122.12400000000001</v>
      </c>
      <c r="I20" s="623">
        <f>'FORMATO PROPUESTA ECONÓMICA'!E18</f>
        <v>0</v>
      </c>
      <c r="J20" s="623">
        <f t="shared" ref="J20:J25" si="0">IF(ISERROR(+H20*I20),"",+H20*I20)</f>
        <v>0</v>
      </c>
      <c r="K20" s="764"/>
      <c r="M20" s="1119"/>
      <c r="N20" s="712"/>
      <c r="O20" s="764"/>
    </row>
    <row r="21" spans="2:15" ht="30" x14ac:dyDescent="0.25">
      <c r="B21" s="763"/>
      <c r="C21" s="752" t="e">
        <f>'FORMATO PROPUESTA ECONÓMICA'!#REF!</f>
        <v>#REF!</v>
      </c>
      <c r="D21" s="753"/>
      <c r="E21" s="634">
        <f>'FORMATO PROPUESTA ECONÓMICA'!A19</f>
        <v>3.2</v>
      </c>
      <c r="F21" s="711" t="s">
        <v>65</v>
      </c>
      <c r="G21" s="622" t="s">
        <v>15</v>
      </c>
      <c r="H21" s="761">
        <f>+H17*0.5-H25</f>
        <v>277.02999999999997</v>
      </c>
      <c r="I21" s="623">
        <f>'FORMATO PROPUESTA ECONÓMICA'!E19</f>
        <v>0</v>
      </c>
      <c r="J21" s="623">
        <f t="shared" si="0"/>
        <v>0</v>
      </c>
      <c r="K21" s="764"/>
      <c r="M21" s="1119"/>
      <c r="N21" s="712"/>
    </row>
    <row r="22" spans="2:15" ht="30" x14ac:dyDescent="0.25">
      <c r="B22" s="763"/>
      <c r="C22" s="752" t="e">
        <f>'FORMATO PROPUESTA ECONÓMICA'!#REF!</f>
        <v>#REF!</v>
      </c>
      <c r="D22" s="753"/>
      <c r="E22" s="634">
        <f>'FORMATO PROPUESTA ECONÓMICA'!A20</f>
        <v>3.3</v>
      </c>
      <c r="F22" s="711" t="s">
        <v>66</v>
      </c>
      <c r="G22" s="622" t="s">
        <v>15</v>
      </c>
      <c r="H22" s="754">
        <f>H17*0.3-H24</f>
        <v>141.18600000000001</v>
      </c>
      <c r="I22" s="623">
        <f>'FORMATO PROPUESTA ECONÓMICA'!E20</f>
        <v>0</v>
      </c>
      <c r="J22" s="623">
        <f t="shared" si="0"/>
        <v>0</v>
      </c>
      <c r="K22" s="764"/>
      <c r="M22" s="1119"/>
      <c r="N22" s="712"/>
      <c r="O22" s="764"/>
    </row>
    <row r="23" spans="2:15" hidden="1" x14ac:dyDescent="0.25">
      <c r="B23" s="763"/>
      <c r="C23" s="752" t="e">
        <f>'FORMATO PROPUESTA ECONÓMICA'!#REF!</f>
        <v>#REF!</v>
      </c>
      <c r="D23" s="753"/>
      <c r="E23" s="634">
        <f>'FORMATO PROPUESTA ECONÓMICA'!A21</f>
        <v>3.4</v>
      </c>
      <c r="F23" s="711" t="s">
        <v>67</v>
      </c>
      <c r="G23" s="622"/>
      <c r="H23" s="757"/>
      <c r="I23" s="623">
        <f>'FORMATO PROPUESTA ECONÓMICA'!E21</f>
        <v>0</v>
      </c>
      <c r="J23" s="623">
        <f t="shared" si="0"/>
        <v>0</v>
      </c>
      <c r="K23" s="764"/>
      <c r="M23" s="1119"/>
      <c r="N23" s="712"/>
      <c r="O23" s="764"/>
    </row>
    <row r="24" spans="2:15" ht="30" x14ac:dyDescent="0.25">
      <c r="B24" s="763"/>
      <c r="C24" s="752" t="e">
        <f>'FORMATO PROPUESTA ECONÓMICA'!#REF!</f>
        <v>#REF!</v>
      </c>
      <c r="D24" s="753"/>
      <c r="E24" s="634">
        <f>'FORMATO PROPUESTA ECONÓMICA'!A22</f>
        <v>3.5</v>
      </c>
      <c r="F24" s="711" t="s">
        <v>68</v>
      </c>
      <c r="G24" s="622" t="s">
        <v>15</v>
      </c>
      <c r="H24" s="757">
        <f>H110</f>
        <v>42</v>
      </c>
      <c r="I24" s="623">
        <f>'FORMATO PROPUESTA ECONÓMICA'!E22</f>
        <v>0</v>
      </c>
      <c r="J24" s="623">
        <f t="shared" si="0"/>
        <v>0</v>
      </c>
      <c r="K24" s="764"/>
      <c r="L24" s="809"/>
      <c r="M24" s="1119"/>
      <c r="N24" s="712"/>
      <c r="O24" s="712"/>
    </row>
    <row r="25" spans="2:15" x14ac:dyDescent="0.25">
      <c r="B25" s="763"/>
      <c r="C25" s="752" t="e">
        <f>'FORMATO PROPUESTA ECONÓMICA'!#REF!</f>
        <v>#REF!</v>
      </c>
      <c r="D25" s="753"/>
      <c r="E25" s="634">
        <f>'FORMATO PROPUESTA ECONÓMICA'!A23</f>
        <v>3.6</v>
      </c>
      <c r="F25" s="711" t="s">
        <v>441</v>
      </c>
      <c r="G25" s="622" t="s">
        <v>15</v>
      </c>
      <c r="H25" s="757">
        <f>H36*0.1*0.4</f>
        <v>28.28</v>
      </c>
      <c r="I25" s="623">
        <f>'FORMATO PROPUESTA ECONÓMICA'!E23</f>
        <v>0</v>
      </c>
      <c r="J25" s="623">
        <f t="shared" si="0"/>
        <v>0</v>
      </c>
      <c r="K25" s="764"/>
      <c r="L25" s="809"/>
      <c r="M25" s="1119"/>
      <c r="N25" s="712"/>
      <c r="O25" s="712"/>
    </row>
    <row r="26" spans="2:15" x14ac:dyDescent="0.25">
      <c r="B26" s="763"/>
      <c r="C26" s="801"/>
      <c r="D26" s="805"/>
      <c r="E26" s="732">
        <f>'FORMATO PROPUESTA ECONÓMICA'!A24</f>
        <v>4</v>
      </c>
      <c r="F26" s="808" t="s">
        <v>69</v>
      </c>
      <c r="G26" s="807"/>
      <c r="H26" s="760"/>
      <c r="I26" s="803"/>
      <c r="J26" s="803"/>
      <c r="K26" s="764"/>
      <c r="L26" s="712"/>
      <c r="M26" s="1119"/>
      <c r="N26" s="712"/>
    </row>
    <row r="27" spans="2:15" ht="30" x14ac:dyDescent="0.25">
      <c r="B27" s="763"/>
      <c r="C27" s="752" t="e">
        <f>'FORMATO PROPUESTA ECONÓMICA'!#REF!</f>
        <v>#REF!</v>
      </c>
      <c r="D27" s="753"/>
      <c r="E27" s="634">
        <f>'FORMATO PROPUESTA ECONÓMICA'!A25</f>
        <v>4.0999999999999996</v>
      </c>
      <c r="F27" s="711" t="s">
        <v>70</v>
      </c>
      <c r="G27" s="622" t="s">
        <v>15</v>
      </c>
      <c r="H27" s="759">
        <f>+(H24+H23+H22+H21)*1.1</f>
        <v>506.23760000000004</v>
      </c>
      <c r="I27" s="623">
        <f>'FORMATO PROPUESTA ECONÓMICA'!E25</f>
        <v>0</v>
      </c>
      <c r="J27" s="623">
        <f>IF(ISERROR(+H27*I27),"",+H27*I27)</f>
        <v>0</v>
      </c>
      <c r="K27" s="764"/>
      <c r="L27" s="712"/>
      <c r="M27" s="1119"/>
      <c r="N27" s="712"/>
      <c r="O27" s="764"/>
    </row>
    <row r="28" spans="2:15" ht="30" x14ac:dyDescent="0.25">
      <c r="B28" s="763"/>
      <c r="C28" s="801"/>
      <c r="D28" s="805"/>
      <c r="E28" s="732">
        <f>'FORMATO PROPUESTA ECONÓMICA'!A26</f>
        <v>5</v>
      </c>
      <c r="F28" s="808" t="s">
        <v>71</v>
      </c>
      <c r="G28" s="807"/>
      <c r="H28" s="760"/>
      <c r="I28" s="803"/>
      <c r="J28" s="803"/>
      <c r="K28" s="764"/>
      <c r="L28" s="712"/>
      <c r="M28" s="1119"/>
      <c r="N28" s="712"/>
    </row>
    <row r="29" spans="2:15" ht="30" x14ac:dyDescent="0.25">
      <c r="B29" s="763"/>
      <c r="C29" s="752" t="e">
        <f>'FORMATO PROPUESTA ECONÓMICA'!#REF!</f>
        <v>#REF!</v>
      </c>
      <c r="D29" s="753"/>
      <c r="E29" s="634">
        <f>'FORMATO PROPUESTA ECONÓMICA'!A27</f>
        <v>5.0999999999999996</v>
      </c>
      <c r="F29" s="711" t="s">
        <v>72</v>
      </c>
      <c r="G29" s="622" t="s">
        <v>73</v>
      </c>
      <c r="H29" s="759">
        <f>H11</f>
        <v>240</v>
      </c>
      <c r="I29" s="623">
        <f>'FORMATO PROPUESTA ECONÓMICA'!E27</f>
        <v>0</v>
      </c>
      <c r="J29" s="623">
        <f>IF(ISERROR(+H29*I29),"",+H29*I29)</f>
        <v>0</v>
      </c>
      <c r="K29" s="764"/>
      <c r="L29" s="712"/>
      <c r="M29" s="1119"/>
      <c r="N29" s="712"/>
    </row>
    <row r="30" spans="2:15" ht="30" x14ac:dyDescent="0.25">
      <c r="B30" s="763"/>
      <c r="C30" s="752" t="e">
        <f>'FORMATO PROPUESTA ECONÓMICA'!#REF!</f>
        <v>#REF!</v>
      </c>
      <c r="D30" s="753"/>
      <c r="E30" s="634">
        <f>'FORMATO PROPUESTA ECONÓMICA'!A28</f>
        <v>5.2</v>
      </c>
      <c r="F30" s="711" t="s">
        <v>74</v>
      </c>
      <c r="G30" s="622" t="s">
        <v>73</v>
      </c>
      <c r="H30" s="759">
        <f>+H12</f>
        <v>96</v>
      </c>
      <c r="I30" s="623">
        <f>'FORMATO PROPUESTA ECONÓMICA'!E28</f>
        <v>0</v>
      </c>
      <c r="J30" s="623">
        <f>IF(ISERROR(+H30*I30),"",+H30*I30)</f>
        <v>0</v>
      </c>
      <c r="K30" s="764"/>
      <c r="M30" s="1119"/>
      <c r="N30" s="712"/>
      <c r="O30" s="712"/>
    </row>
    <row r="31" spans="2:15" ht="45" x14ac:dyDescent="0.25">
      <c r="B31" s="763"/>
      <c r="C31" s="752" t="e">
        <f>'FORMATO PROPUESTA ECONÓMICA'!#REF!</f>
        <v>#REF!</v>
      </c>
      <c r="D31" s="753"/>
      <c r="E31" s="634">
        <f>'FORMATO PROPUESTA ECONÓMICA'!A29</f>
        <v>5.3</v>
      </c>
      <c r="F31" s="711" t="s">
        <v>75</v>
      </c>
      <c r="G31" s="622" t="s">
        <v>7</v>
      </c>
      <c r="H31" s="759">
        <f>+H13</f>
        <v>70</v>
      </c>
      <c r="I31" s="623">
        <f>'FORMATO PROPUESTA ECONÓMICA'!E29</f>
        <v>0</v>
      </c>
      <c r="J31" s="623">
        <f>IF(ISERROR(+H31*I31),"",+H31*I31)</f>
        <v>0</v>
      </c>
      <c r="K31" s="764"/>
      <c r="M31" s="1119"/>
      <c r="N31" s="712"/>
      <c r="O31" s="764"/>
    </row>
    <row r="32" spans="2:15" ht="45" x14ac:dyDescent="0.25">
      <c r="B32" s="763"/>
      <c r="C32" s="752" t="e">
        <f>'FORMATO PROPUESTA ECONÓMICA'!#REF!</f>
        <v>#REF!</v>
      </c>
      <c r="D32" s="753"/>
      <c r="E32" s="634">
        <f>'FORMATO PROPUESTA ECONÓMICA'!A30</f>
        <v>5.4</v>
      </c>
      <c r="F32" s="711" t="s">
        <v>76</v>
      </c>
      <c r="G32" s="622" t="s">
        <v>7</v>
      </c>
      <c r="H32" s="759">
        <f>+H14</f>
        <v>70</v>
      </c>
      <c r="I32" s="623">
        <f>'FORMATO PROPUESTA ECONÓMICA'!E30</f>
        <v>0</v>
      </c>
      <c r="J32" s="623">
        <f>IF(ISERROR(+H32*I32),"",+H32*I32)</f>
        <v>0</v>
      </c>
      <c r="K32" s="764"/>
      <c r="M32" s="1119"/>
      <c r="N32" s="712"/>
      <c r="O32" s="764"/>
    </row>
    <row r="33" spans="2:15" x14ac:dyDescent="0.25">
      <c r="B33" s="763"/>
      <c r="C33" s="752" t="e">
        <f>'FORMATO PROPUESTA ECONÓMICA'!#REF!</f>
        <v>#REF!</v>
      </c>
      <c r="D33" s="753"/>
      <c r="E33" s="634">
        <f>'FORMATO PROPUESTA ECONÓMICA'!A31</f>
        <v>5.5</v>
      </c>
      <c r="F33" s="711" t="s">
        <v>77</v>
      </c>
      <c r="G33" s="622" t="s">
        <v>16</v>
      </c>
      <c r="H33" s="759">
        <v>91.945529659549734</v>
      </c>
      <c r="I33" s="623">
        <f>'FORMATO PROPUESTA ECONÓMICA'!E31</f>
        <v>0</v>
      </c>
      <c r="J33" s="623">
        <f>IF(ISERROR(+H33*I33),"",+H33*I33)</f>
        <v>0</v>
      </c>
      <c r="K33" s="764"/>
      <c r="M33" s="1119"/>
      <c r="N33" s="712"/>
    </row>
    <row r="34" spans="2:15" x14ac:dyDescent="0.25">
      <c r="B34" s="763"/>
      <c r="C34" s="801"/>
      <c r="D34" s="805"/>
      <c r="E34" s="732">
        <f>'FORMATO PROPUESTA ECONÓMICA'!A32</f>
        <v>6</v>
      </c>
      <c r="F34" s="808" t="s">
        <v>78</v>
      </c>
      <c r="G34" s="807"/>
      <c r="H34" s="760"/>
      <c r="I34" s="803"/>
      <c r="J34" s="803"/>
      <c r="K34" s="764"/>
      <c r="L34" s="712"/>
      <c r="M34" s="1119"/>
      <c r="N34" s="712"/>
    </row>
    <row r="35" spans="2:15" ht="30" hidden="1" x14ac:dyDescent="0.25">
      <c r="B35" s="763"/>
      <c r="C35" s="752" t="e">
        <f>'FORMATO PROPUESTA ECONÓMICA'!#REF!</f>
        <v>#REF!</v>
      </c>
      <c r="D35" s="753"/>
      <c r="E35" s="620">
        <f>'FORMATO PROPUESTA ECONÓMICA'!A33</f>
        <v>6.1</v>
      </c>
      <c r="F35" s="711" t="s">
        <v>374</v>
      </c>
      <c r="G35" s="622" t="s">
        <v>59</v>
      </c>
      <c r="H35" s="762"/>
      <c r="I35" s="623">
        <f>'FORMATO PROPUESTA ECONÓMICA'!E33</f>
        <v>0</v>
      </c>
      <c r="J35" s="623">
        <f t="shared" ref="J35:J63" si="1">IF(ISERROR(+H35*I35),"",+H35*I35)</f>
        <v>0</v>
      </c>
      <c r="K35" s="764"/>
      <c r="L35" s="712"/>
      <c r="M35" s="1119"/>
      <c r="N35" s="712"/>
    </row>
    <row r="36" spans="2:15" ht="30" x14ac:dyDescent="0.25">
      <c r="B36" s="763"/>
      <c r="C36" s="752" t="e">
        <f>'FORMATO PROPUESTA ECONÓMICA'!#REF!</f>
        <v>#REF!</v>
      </c>
      <c r="D36" s="753"/>
      <c r="E36" s="634">
        <f>'FORMATO PROPUESTA ECONÓMICA'!A34</f>
        <v>6.2</v>
      </c>
      <c r="F36" s="711" t="s">
        <v>375</v>
      </c>
      <c r="G36" s="622" t="s">
        <v>59</v>
      </c>
      <c r="H36" s="759">
        <v>707</v>
      </c>
      <c r="I36" s="623">
        <f>'FORMATO PROPUESTA ECONÓMICA'!E34</f>
        <v>0</v>
      </c>
      <c r="J36" s="623">
        <f t="shared" si="1"/>
        <v>0</v>
      </c>
      <c r="K36" s="764"/>
      <c r="M36" s="1119"/>
      <c r="N36" s="712"/>
      <c r="O36" s="764"/>
    </row>
    <row r="37" spans="2:15" ht="30" hidden="1" x14ac:dyDescent="0.25">
      <c r="B37" s="763"/>
      <c r="C37" s="752" t="e">
        <f>'FORMATO PROPUESTA ECONÓMICA'!#REF!</f>
        <v>#REF!</v>
      </c>
      <c r="D37" s="753"/>
      <c r="E37" s="634">
        <f>'FORMATO PROPUESTA ECONÓMICA'!A35</f>
        <v>6.3</v>
      </c>
      <c r="F37" s="711" t="s">
        <v>376</v>
      </c>
      <c r="G37" s="622" t="s">
        <v>59</v>
      </c>
      <c r="H37" s="759"/>
      <c r="I37" s="623">
        <f>'FORMATO PROPUESTA ECONÓMICA'!E35</f>
        <v>0</v>
      </c>
      <c r="J37" s="623">
        <f t="shared" si="1"/>
        <v>0</v>
      </c>
      <c r="K37" s="764"/>
      <c r="M37" s="1119"/>
      <c r="N37" s="712"/>
    </row>
    <row r="38" spans="2:15" ht="30" hidden="1" x14ac:dyDescent="0.25">
      <c r="B38" s="763"/>
      <c r="C38" s="752" t="e">
        <f>'FORMATO PROPUESTA ECONÓMICA'!#REF!</f>
        <v>#REF!</v>
      </c>
      <c r="D38" s="753"/>
      <c r="E38" s="634">
        <f>'FORMATO PROPUESTA ECONÓMICA'!A36</f>
        <v>6.4</v>
      </c>
      <c r="F38" s="711" t="s">
        <v>377</v>
      </c>
      <c r="G38" s="622" t="s">
        <v>59</v>
      </c>
      <c r="H38" s="759"/>
      <c r="I38" s="623">
        <f>'FORMATO PROPUESTA ECONÓMICA'!E36</f>
        <v>0</v>
      </c>
      <c r="J38" s="623">
        <f t="shared" si="1"/>
        <v>0</v>
      </c>
      <c r="K38" s="764"/>
      <c r="M38" s="1119"/>
      <c r="N38" s="712"/>
    </row>
    <row r="39" spans="2:15" ht="30" hidden="1" x14ac:dyDescent="0.25">
      <c r="B39" s="763"/>
      <c r="C39" s="752" t="e">
        <f>'FORMATO PROPUESTA ECONÓMICA'!#REF!</f>
        <v>#REF!</v>
      </c>
      <c r="D39" s="753"/>
      <c r="E39" s="634">
        <f>'FORMATO PROPUESTA ECONÓMICA'!A37</f>
        <v>6.5</v>
      </c>
      <c r="F39" s="711" t="s">
        <v>378</v>
      </c>
      <c r="G39" s="622" t="s">
        <v>59</v>
      </c>
      <c r="H39" s="759"/>
      <c r="I39" s="623">
        <f>'FORMATO PROPUESTA ECONÓMICA'!E37</f>
        <v>0</v>
      </c>
      <c r="J39" s="623">
        <f t="shared" si="1"/>
        <v>0</v>
      </c>
      <c r="K39" s="764"/>
      <c r="M39" s="1119"/>
      <c r="N39" s="712"/>
      <c r="O39" s="764"/>
    </row>
    <row r="40" spans="2:15" hidden="1" x14ac:dyDescent="0.25">
      <c r="B40" s="763"/>
      <c r="C40" s="752" t="e">
        <f>'FORMATO PROPUESTA ECONÓMICA'!#REF!</f>
        <v>#REF!</v>
      </c>
      <c r="D40" s="753"/>
      <c r="E40" s="634">
        <f>'FORMATO PROPUESTA ECONÓMICA'!A38</f>
        <v>6.6</v>
      </c>
      <c r="F40" s="711" t="s">
        <v>382</v>
      </c>
      <c r="G40" s="622" t="s">
        <v>79</v>
      </c>
      <c r="H40" s="759"/>
      <c r="I40" s="623">
        <f>'FORMATO PROPUESTA ECONÓMICA'!E38</f>
        <v>0</v>
      </c>
      <c r="J40" s="623">
        <f t="shared" si="1"/>
        <v>0</v>
      </c>
      <c r="K40" s="764"/>
      <c r="M40" s="1119"/>
      <c r="N40" s="712"/>
      <c r="O40" s="712"/>
    </row>
    <row r="41" spans="2:15" ht="25.5" customHeight="1" x14ac:dyDescent="0.25">
      <c r="B41" s="763"/>
      <c r="C41" s="752" t="e">
        <f>'FORMATO PROPUESTA ECONÓMICA'!#REF!</f>
        <v>#REF!</v>
      </c>
      <c r="D41" s="753"/>
      <c r="E41" s="634">
        <f>'FORMATO PROPUESTA ECONÓMICA'!A39</f>
        <v>6.7</v>
      </c>
      <c r="F41" s="711" t="s">
        <v>381</v>
      </c>
      <c r="G41" s="622" t="s">
        <v>79</v>
      </c>
      <c r="H41" s="759">
        <v>6</v>
      </c>
      <c r="I41" s="623">
        <f>'FORMATO PROPUESTA ECONÓMICA'!E39</f>
        <v>0</v>
      </c>
      <c r="J41" s="623">
        <f t="shared" si="1"/>
        <v>0</v>
      </c>
      <c r="K41" s="764"/>
      <c r="M41" s="1119"/>
      <c r="N41" s="712"/>
    </row>
    <row r="42" spans="2:15" hidden="1" x14ac:dyDescent="0.25">
      <c r="B42" s="763"/>
      <c r="C42" s="752" t="e">
        <f>'FORMATO PROPUESTA ECONÓMICA'!#REF!</f>
        <v>#REF!</v>
      </c>
      <c r="D42" s="753"/>
      <c r="E42" s="620">
        <f>'FORMATO PROPUESTA ECONÓMICA'!A40</f>
        <v>6.8</v>
      </c>
      <c r="F42" s="711" t="s">
        <v>383</v>
      </c>
      <c r="G42" s="622" t="s">
        <v>79</v>
      </c>
      <c r="H42" s="759"/>
      <c r="I42" s="623">
        <f>'FORMATO PROPUESTA ECONÓMICA'!E40</f>
        <v>0</v>
      </c>
      <c r="J42" s="623">
        <f t="shared" si="1"/>
        <v>0</v>
      </c>
      <c r="K42" s="764"/>
      <c r="M42" s="1119"/>
      <c r="N42" s="712"/>
    </row>
    <row r="43" spans="2:15" hidden="1" x14ac:dyDescent="0.25">
      <c r="B43" s="763"/>
      <c r="C43" s="752" t="e">
        <f>'FORMATO PROPUESTA ECONÓMICA'!#REF!</f>
        <v>#REF!</v>
      </c>
      <c r="D43" s="753"/>
      <c r="E43" s="620">
        <f>'FORMATO PROPUESTA ECONÓMICA'!A41</f>
        <v>6.9</v>
      </c>
      <c r="F43" s="711" t="s">
        <v>384</v>
      </c>
      <c r="G43" s="622" t="s">
        <v>79</v>
      </c>
      <c r="H43" s="759"/>
      <c r="I43" s="623">
        <f>'FORMATO PROPUESTA ECONÓMICA'!E41</f>
        <v>0</v>
      </c>
      <c r="J43" s="623">
        <f t="shared" si="1"/>
        <v>0</v>
      </c>
      <c r="K43" s="764"/>
      <c r="M43" s="1119"/>
      <c r="N43" s="712"/>
    </row>
    <row r="44" spans="2:15" hidden="1" x14ac:dyDescent="0.25">
      <c r="B44" s="763"/>
      <c r="C44" s="752" t="e">
        <f>'FORMATO PROPUESTA ECONÓMICA'!#REF!</f>
        <v>#REF!</v>
      </c>
      <c r="D44" s="753"/>
      <c r="E44" s="620">
        <f>'FORMATO PROPUESTA ECONÓMICA'!A42</f>
        <v>6.1</v>
      </c>
      <c r="F44" s="711" t="s">
        <v>385</v>
      </c>
      <c r="G44" s="622" t="s">
        <v>79</v>
      </c>
      <c r="H44" s="759"/>
      <c r="I44" s="623">
        <f>'FORMATO PROPUESTA ECONÓMICA'!E42</f>
        <v>0</v>
      </c>
      <c r="J44" s="623">
        <f t="shared" si="1"/>
        <v>0</v>
      </c>
      <c r="K44" s="764"/>
      <c r="M44" s="1119"/>
      <c r="N44" s="712"/>
    </row>
    <row r="45" spans="2:15" hidden="1" x14ac:dyDescent="0.25">
      <c r="B45" s="763"/>
      <c r="C45" s="752" t="e">
        <f>'FORMATO PROPUESTA ECONÓMICA'!#REF!</f>
        <v>#REF!</v>
      </c>
      <c r="D45" s="753"/>
      <c r="E45" s="620">
        <f>'FORMATO PROPUESTA ECONÓMICA'!A43</f>
        <v>6.11</v>
      </c>
      <c r="F45" s="711" t="s">
        <v>386</v>
      </c>
      <c r="G45" s="622" t="s">
        <v>79</v>
      </c>
      <c r="H45" s="759"/>
      <c r="I45" s="623">
        <f>'FORMATO PROPUESTA ECONÓMICA'!E43</f>
        <v>0</v>
      </c>
      <c r="J45" s="623">
        <f t="shared" si="1"/>
        <v>0</v>
      </c>
      <c r="K45" s="764"/>
      <c r="M45" s="1119"/>
      <c r="N45" s="712"/>
    </row>
    <row r="46" spans="2:15" hidden="1" x14ac:dyDescent="0.25">
      <c r="B46" s="763"/>
      <c r="C46" s="752" t="e">
        <f>'FORMATO PROPUESTA ECONÓMICA'!#REF!</f>
        <v>#REF!</v>
      </c>
      <c r="D46" s="753"/>
      <c r="E46" s="620">
        <f>'FORMATO PROPUESTA ECONÓMICA'!A44</f>
        <v>6.12</v>
      </c>
      <c r="F46" s="711" t="s">
        <v>445</v>
      </c>
      <c r="G46" s="622" t="s">
        <v>79</v>
      </c>
      <c r="H46" s="766"/>
      <c r="I46" s="623">
        <f>'FORMATO PROPUESTA ECONÓMICA'!E44</f>
        <v>0</v>
      </c>
      <c r="J46" s="623">
        <f t="shared" si="1"/>
        <v>0</v>
      </c>
      <c r="K46" s="764"/>
      <c r="M46" s="1119"/>
      <c r="N46" s="712"/>
    </row>
    <row r="47" spans="2:15" ht="21" hidden="1" customHeight="1" x14ac:dyDescent="0.25">
      <c r="B47" s="763"/>
      <c r="C47" s="752" t="e">
        <f>'FORMATO PROPUESTA ECONÓMICA'!#REF!</f>
        <v>#REF!</v>
      </c>
      <c r="D47" s="753"/>
      <c r="E47" s="620">
        <f>'FORMATO PROPUESTA ECONÓMICA'!A45</f>
        <v>6.13</v>
      </c>
      <c r="F47" s="711" t="s">
        <v>387</v>
      </c>
      <c r="G47" s="622" t="s">
        <v>79</v>
      </c>
      <c r="H47" s="766"/>
      <c r="I47" s="623">
        <f>'FORMATO PROPUESTA ECONÓMICA'!E45</f>
        <v>0</v>
      </c>
      <c r="J47" s="623">
        <f t="shared" si="1"/>
        <v>0</v>
      </c>
      <c r="K47" s="764"/>
      <c r="M47" s="1119"/>
      <c r="N47" s="712"/>
    </row>
    <row r="48" spans="2:15" hidden="1" x14ac:dyDescent="0.25">
      <c r="B48" s="763"/>
      <c r="C48" s="752" t="e">
        <f>'FORMATO PROPUESTA ECONÓMICA'!#REF!</f>
        <v>#REF!</v>
      </c>
      <c r="D48" s="753"/>
      <c r="E48" s="620">
        <f>'FORMATO PROPUESTA ECONÓMICA'!A46</f>
        <v>6.14</v>
      </c>
      <c r="F48" s="711" t="s">
        <v>388</v>
      </c>
      <c r="G48" s="622" t="s">
        <v>79</v>
      </c>
      <c r="H48" s="759"/>
      <c r="I48" s="623">
        <f>'FORMATO PROPUESTA ECONÓMICA'!E46</f>
        <v>0</v>
      </c>
      <c r="J48" s="623">
        <f t="shared" si="1"/>
        <v>0</v>
      </c>
      <c r="K48" s="764"/>
      <c r="M48" s="1119"/>
      <c r="N48" s="712"/>
    </row>
    <row r="49" spans="2:14" hidden="1" x14ac:dyDescent="0.25">
      <c r="B49" s="763"/>
      <c r="C49" s="752" t="e">
        <f>'FORMATO PROPUESTA ECONÓMICA'!#REF!</f>
        <v>#REF!</v>
      </c>
      <c r="D49" s="753"/>
      <c r="E49" s="620">
        <f>'FORMATO PROPUESTA ECONÓMICA'!A47</f>
        <v>6.15</v>
      </c>
      <c r="F49" s="711" t="s">
        <v>389</v>
      </c>
      <c r="G49" s="622" t="s">
        <v>79</v>
      </c>
      <c r="H49" s="759"/>
      <c r="I49" s="623">
        <f>'FORMATO PROPUESTA ECONÓMICA'!E47</f>
        <v>0</v>
      </c>
      <c r="J49" s="623">
        <f t="shared" si="1"/>
        <v>0</v>
      </c>
      <c r="K49" s="764"/>
      <c r="M49" s="1119"/>
      <c r="N49" s="712"/>
    </row>
    <row r="50" spans="2:14" hidden="1" x14ac:dyDescent="0.25">
      <c r="B50" s="763"/>
      <c r="C50" s="752" t="e">
        <f>'FORMATO PROPUESTA ECONÓMICA'!#REF!</f>
        <v>#REF!</v>
      </c>
      <c r="D50" s="753"/>
      <c r="E50" s="620">
        <f>'FORMATO PROPUESTA ECONÓMICA'!A48</f>
        <v>6.16</v>
      </c>
      <c r="F50" s="711" t="s">
        <v>390</v>
      </c>
      <c r="G50" s="622" t="s">
        <v>79</v>
      </c>
      <c r="H50" s="754"/>
      <c r="I50" s="623">
        <f>'FORMATO PROPUESTA ECONÓMICA'!E48</f>
        <v>0</v>
      </c>
      <c r="J50" s="623">
        <f t="shared" si="1"/>
        <v>0</v>
      </c>
      <c r="K50" s="764"/>
      <c r="M50" s="1119"/>
      <c r="N50" s="712"/>
    </row>
    <row r="51" spans="2:14" hidden="1" x14ac:dyDescent="0.25">
      <c r="B51" s="763"/>
      <c r="C51" s="752" t="e">
        <f>'FORMATO PROPUESTA ECONÓMICA'!#REF!</f>
        <v>#REF!</v>
      </c>
      <c r="D51" s="753"/>
      <c r="E51" s="620">
        <f>'FORMATO PROPUESTA ECONÓMICA'!A49</f>
        <v>6.17</v>
      </c>
      <c r="F51" s="711" t="s">
        <v>391</v>
      </c>
      <c r="G51" s="622" t="s">
        <v>79</v>
      </c>
      <c r="H51" s="754"/>
      <c r="I51" s="623">
        <f>'FORMATO PROPUESTA ECONÓMICA'!E49</f>
        <v>0</v>
      </c>
      <c r="J51" s="623">
        <f t="shared" si="1"/>
        <v>0</v>
      </c>
      <c r="K51" s="764"/>
      <c r="M51" s="1119"/>
      <c r="N51" s="712"/>
    </row>
    <row r="52" spans="2:14" hidden="1" x14ac:dyDescent="0.25">
      <c r="B52" s="763"/>
      <c r="C52" s="752" t="e">
        <f>'FORMATO PROPUESTA ECONÓMICA'!#REF!</f>
        <v>#REF!</v>
      </c>
      <c r="D52" s="753"/>
      <c r="E52" s="620">
        <f>'FORMATO PROPUESTA ECONÓMICA'!A50</f>
        <v>6.18</v>
      </c>
      <c r="F52" s="711" t="s">
        <v>392</v>
      </c>
      <c r="G52" s="622" t="s">
        <v>79</v>
      </c>
      <c r="H52" s="754"/>
      <c r="I52" s="623">
        <f>'FORMATO PROPUESTA ECONÓMICA'!E50</f>
        <v>0</v>
      </c>
      <c r="J52" s="623">
        <f t="shared" si="1"/>
        <v>0</v>
      </c>
      <c r="K52" s="764"/>
      <c r="M52" s="1119"/>
      <c r="N52" s="712"/>
    </row>
    <row r="53" spans="2:14" hidden="1" x14ac:dyDescent="0.25">
      <c r="B53" s="763"/>
      <c r="C53" s="752" t="e">
        <f>'FORMATO PROPUESTA ECONÓMICA'!#REF!</f>
        <v>#REF!</v>
      </c>
      <c r="D53" s="753"/>
      <c r="E53" s="620">
        <f>'FORMATO PROPUESTA ECONÓMICA'!A51</f>
        <v>6.19</v>
      </c>
      <c r="F53" s="711" t="s">
        <v>393</v>
      </c>
      <c r="G53" s="622" t="s">
        <v>79</v>
      </c>
      <c r="H53" s="754"/>
      <c r="I53" s="623">
        <f>'FORMATO PROPUESTA ECONÓMICA'!E51</f>
        <v>0</v>
      </c>
      <c r="J53" s="623">
        <f t="shared" si="1"/>
        <v>0</v>
      </c>
      <c r="K53" s="764"/>
      <c r="M53" s="1119"/>
      <c r="N53" s="712"/>
    </row>
    <row r="54" spans="2:14" hidden="1" x14ac:dyDescent="0.25">
      <c r="B54" s="763"/>
      <c r="C54" s="752" t="e">
        <f>'FORMATO PROPUESTA ECONÓMICA'!#REF!</f>
        <v>#REF!</v>
      </c>
      <c r="D54" s="753"/>
      <c r="E54" s="620">
        <f>'FORMATO PROPUESTA ECONÓMICA'!A52</f>
        <v>6.2</v>
      </c>
      <c r="F54" s="711" t="s">
        <v>394</v>
      </c>
      <c r="G54" s="622" t="s">
        <v>79</v>
      </c>
      <c r="H54" s="754"/>
      <c r="I54" s="623">
        <f>'FORMATO PROPUESTA ECONÓMICA'!E52</f>
        <v>0</v>
      </c>
      <c r="J54" s="623">
        <f t="shared" si="1"/>
        <v>0</v>
      </c>
      <c r="K54" s="764"/>
      <c r="M54" s="1119"/>
      <c r="N54" s="712"/>
    </row>
    <row r="55" spans="2:14" hidden="1" x14ac:dyDescent="0.25">
      <c r="B55" s="763"/>
      <c r="C55" s="752" t="e">
        <f>'FORMATO PROPUESTA ECONÓMICA'!#REF!</f>
        <v>#REF!</v>
      </c>
      <c r="D55" s="753"/>
      <c r="E55" s="620">
        <f>'FORMATO PROPUESTA ECONÓMICA'!A53</f>
        <v>6.21</v>
      </c>
      <c r="F55" s="711" t="s">
        <v>395</v>
      </c>
      <c r="G55" s="622" t="s">
        <v>79</v>
      </c>
      <c r="H55" s="754"/>
      <c r="I55" s="623">
        <f>'FORMATO PROPUESTA ECONÓMICA'!E53</f>
        <v>0</v>
      </c>
      <c r="J55" s="623">
        <f t="shared" si="1"/>
        <v>0</v>
      </c>
      <c r="K55" s="764"/>
      <c r="M55" s="1119"/>
      <c r="N55" s="712"/>
    </row>
    <row r="56" spans="2:14" hidden="1" x14ac:dyDescent="0.25">
      <c r="B56" s="763"/>
      <c r="C56" s="752" t="e">
        <f>'FORMATO PROPUESTA ECONÓMICA'!#REF!</f>
        <v>#REF!</v>
      </c>
      <c r="D56" s="753"/>
      <c r="E56" s="620">
        <f>'FORMATO PROPUESTA ECONÓMICA'!A54</f>
        <v>6.22</v>
      </c>
      <c r="F56" s="711" t="s">
        <v>396</v>
      </c>
      <c r="G56" s="622" t="s">
        <v>79</v>
      </c>
      <c r="H56" s="754"/>
      <c r="I56" s="623">
        <f>'FORMATO PROPUESTA ECONÓMICA'!E54</f>
        <v>0</v>
      </c>
      <c r="J56" s="623">
        <f t="shared" si="1"/>
        <v>0</v>
      </c>
      <c r="K56" s="764"/>
      <c r="M56" s="1119"/>
      <c r="N56" s="712"/>
    </row>
    <row r="57" spans="2:14" hidden="1" x14ac:dyDescent="0.25">
      <c r="B57" s="763"/>
      <c r="C57" s="752" t="e">
        <f>'FORMATO PROPUESTA ECONÓMICA'!#REF!</f>
        <v>#REF!</v>
      </c>
      <c r="D57" s="753"/>
      <c r="E57" s="620">
        <f>'FORMATO PROPUESTA ECONÓMICA'!A55</f>
        <v>6.23</v>
      </c>
      <c r="F57" s="711" t="s">
        <v>397</v>
      </c>
      <c r="G57" s="622" t="s">
        <v>79</v>
      </c>
      <c r="H57" s="754"/>
      <c r="I57" s="623">
        <f>'FORMATO PROPUESTA ECONÓMICA'!E55</f>
        <v>0</v>
      </c>
      <c r="J57" s="623">
        <f t="shared" si="1"/>
        <v>0</v>
      </c>
      <c r="K57" s="764"/>
      <c r="M57" s="1119"/>
      <c r="N57" s="712"/>
    </row>
    <row r="58" spans="2:14" x14ac:dyDescent="0.25">
      <c r="B58" s="763"/>
      <c r="C58" s="752" t="e">
        <f>'FORMATO PROPUESTA ECONÓMICA'!#REF!</f>
        <v>#REF!</v>
      </c>
      <c r="D58" s="753"/>
      <c r="E58" s="620">
        <f>'FORMATO PROPUESTA ECONÓMICA'!A56</f>
        <v>6.24</v>
      </c>
      <c r="F58" s="711" t="s">
        <v>398</v>
      </c>
      <c r="G58" s="622" t="s">
        <v>79</v>
      </c>
      <c r="H58" s="754">
        <v>8</v>
      </c>
      <c r="I58" s="623">
        <f>'FORMATO PROPUESTA ECONÓMICA'!E56</f>
        <v>0</v>
      </c>
      <c r="J58" s="623">
        <f t="shared" si="1"/>
        <v>0</v>
      </c>
      <c r="K58" s="764"/>
      <c r="M58" s="1119"/>
      <c r="N58" s="712"/>
    </row>
    <row r="59" spans="2:14" hidden="1" x14ac:dyDescent="0.25">
      <c r="B59" s="763"/>
      <c r="C59" s="752" t="e">
        <f>'FORMATO PROPUESTA ECONÓMICA'!#REF!</f>
        <v>#REF!</v>
      </c>
      <c r="D59" s="753"/>
      <c r="E59" s="620">
        <f>'FORMATO PROPUESTA ECONÓMICA'!A57</f>
        <v>6.25</v>
      </c>
      <c r="F59" s="711" t="s">
        <v>399</v>
      </c>
      <c r="G59" s="622" t="s">
        <v>79</v>
      </c>
      <c r="H59" s="754"/>
      <c r="I59" s="623">
        <f>'FORMATO PROPUESTA ECONÓMICA'!E57</f>
        <v>0</v>
      </c>
      <c r="J59" s="623">
        <f t="shared" si="1"/>
        <v>0</v>
      </c>
      <c r="K59" s="764"/>
      <c r="M59" s="1119"/>
      <c r="N59" s="712"/>
    </row>
    <row r="60" spans="2:14" hidden="1" x14ac:dyDescent="0.25">
      <c r="B60" s="763"/>
      <c r="C60" s="752" t="e">
        <f>'FORMATO PROPUESTA ECONÓMICA'!#REF!</f>
        <v>#REF!</v>
      </c>
      <c r="D60" s="753"/>
      <c r="E60" s="620">
        <f>'FORMATO PROPUESTA ECONÓMICA'!A58</f>
        <v>6.26</v>
      </c>
      <c r="F60" s="711" t="s">
        <v>400</v>
      </c>
      <c r="G60" s="622" t="s">
        <v>79</v>
      </c>
      <c r="H60" s="754"/>
      <c r="I60" s="623">
        <f>'FORMATO PROPUESTA ECONÓMICA'!E58</f>
        <v>0</v>
      </c>
      <c r="J60" s="623">
        <f t="shared" si="1"/>
        <v>0</v>
      </c>
      <c r="K60" s="764"/>
      <c r="M60" s="1119"/>
      <c r="N60" s="712"/>
    </row>
    <row r="61" spans="2:14" hidden="1" x14ac:dyDescent="0.25">
      <c r="B61" s="763"/>
      <c r="C61" s="752" t="e">
        <f>'FORMATO PROPUESTA ECONÓMICA'!#REF!</f>
        <v>#REF!</v>
      </c>
      <c r="D61" s="753"/>
      <c r="E61" s="620">
        <f>'FORMATO PROPUESTA ECONÓMICA'!A59</f>
        <v>6.27</v>
      </c>
      <c r="F61" s="711" t="s">
        <v>401</v>
      </c>
      <c r="G61" s="622" t="s">
        <v>79</v>
      </c>
      <c r="H61" s="754"/>
      <c r="I61" s="623">
        <f>'FORMATO PROPUESTA ECONÓMICA'!E59</f>
        <v>0</v>
      </c>
      <c r="J61" s="623">
        <f t="shared" si="1"/>
        <v>0</v>
      </c>
      <c r="K61" s="764"/>
      <c r="M61" s="1119"/>
      <c r="N61" s="712"/>
    </row>
    <row r="62" spans="2:14" ht="30" x14ac:dyDescent="0.25">
      <c r="B62" s="763"/>
      <c r="C62" s="752" t="e">
        <f>'FORMATO PROPUESTA ECONÓMICA'!#REF!</f>
        <v>#REF!</v>
      </c>
      <c r="D62" s="753"/>
      <c r="E62" s="620">
        <f>'FORMATO PROPUESTA ECONÓMICA'!A60</f>
        <v>6.28</v>
      </c>
      <c r="F62" s="711" t="s">
        <v>80</v>
      </c>
      <c r="G62" s="622" t="s">
        <v>79</v>
      </c>
      <c r="H62" s="754">
        <v>2</v>
      </c>
      <c r="I62" s="623">
        <f>'FORMATO PROPUESTA ECONÓMICA'!E60</f>
        <v>0</v>
      </c>
      <c r="J62" s="623">
        <f t="shared" si="1"/>
        <v>0</v>
      </c>
      <c r="K62" s="764"/>
      <c r="M62" s="1119"/>
      <c r="N62" s="712"/>
    </row>
    <row r="63" spans="2:14" ht="30" hidden="1" x14ac:dyDescent="0.25">
      <c r="B63" s="763"/>
      <c r="C63" s="752" t="e">
        <f>'FORMATO PROPUESTA ECONÓMICA'!#REF!</f>
        <v>#REF!</v>
      </c>
      <c r="D63" s="753"/>
      <c r="E63" s="620">
        <f>'FORMATO PROPUESTA ECONÓMICA'!A61</f>
        <v>6.29</v>
      </c>
      <c r="F63" s="711" t="s">
        <v>81</v>
      </c>
      <c r="G63" s="622" t="s">
        <v>79</v>
      </c>
      <c r="H63" s="754"/>
      <c r="I63" s="623">
        <f>'FORMATO PROPUESTA ECONÓMICA'!E61</f>
        <v>0</v>
      </c>
      <c r="J63" s="623">
        <f t="shared" si="1"/>
        <v>0</v>
      </c>
      <c r="K63" s="764"/>
      <c r="M63" s="1119"/>
      <c r="N63" s="712"/>
    </row>
    <row r="64" spans="2:14" ht="30" x14ac:dyDescent="0.25">
      <c r="B64" s="763"/>
      <c r="C64" s="801"/>
      <c r="D64" s="805"/>
      <c r="E64" s="732">
        <f>'FORMATO PROPUESTA ECONÓMICA'!A62</f>
        <v>7</v>
      </c>
      <c r="F64" s="808" t="s">
        <v>82</v>
      </c>
      <c r="G64" s="807"/>
      <c r="H64" s="807"/>
      <c r="I64" s="803"/>
      <c r="J64" s="803"/>
      <c r="K64" s="764"/>
      <c r="L64" s="712"/>
      <c r="M64" s="1119"/>
      <c r="N64" s="712"/>
    </row>
    <row r="65" spans="2:15" ht="30" x14ac:dyDescent="0.25">
      <c r="B65" s="763"/>
      <c r="C65" s="752" t="e">
        <f>'FORMATO PROPUESTA ECONÓMICA'!#REF!</f>
        <v>#REF!</v>
      </c>
      <c r="D65" s="753"/>
      <c r="E65" s="634">
        <f>'FORMATO PROPUESTA ECONÓMICA'!A63</f>
        <v>7.1</v>
      </c>
      <c r="F65" s="711" t="s">
        <v>402</v>
      </c>
      <c r="G65" s="622" t="s">
        <v>59</v>
      </c>
      <c r="H65" s="754">
        <v>600</v>
      </c>
      <c r="I65" s="623">
        <f>'FORMATO PROPUESTA ECONÓMICA'!E63</f>
        <v>0</v>
      </c>
      <c r="J65" s="623">
        <f t="shared" ref="J65:J79" si="2">IF(ISERROR(+H65*I65),"",+H65*I65)</f>
        <v>0</v>
      </c>
      <c r="K65" s="764"/>
      <c r="L65" s="712"/>
      <c r="M65" s="1119"/>
      <c r="N65" s="712"/>
    </row>
    <row r="66" spans="2:15" ht="30" hidden="1" x14ac:dyDescent="0.25">
      <c r="B66" s="763"/>
      <c r="C66" s="752" t="e">
        <f>'FORMATO PROPUESTA ECONÓMICA'!#REF!</f>
        <v>#REF!</v>
      </c>
      <c r="D66" s="753"/>
      <c r="E66" s="634">
        <f>'FORMATO PROPUESTA ECONÓMICA'!A64</f>
        <v>7.2</v>
      </c>
      <c r="F66" s="711" t="s">
        <v>403</v>
      </c>
      <c r="G66" s="622" t="s">
        <v>59</v>
      </c>
      <c r="H66" s="762"/>
      <c r="I66" s="623">
        <f>'FORMATO PROPUESTA ECONÓMICA'!E64</f>
        <v>0</v>
      </c>
      <c r="J66" s="623">
        <f t="shared" si="2"/>
        <v>0</v>
      </c>
      <c r="K66" s="764"/>
      <c r="M66" s="1119"/>
      <c r="N66" s="712"/>
    </row>
    <row r="67" spans="2:15" hidden="1" x14ac:dyDescent="0.25">
      <c r="B67" s="763"/>
      <c r="C67" s="752" t="e">
        <f>'FORMATO PROPUESTA ECONÓMICA'!#REF!</f>
        <v>#REF!</v>
      </c>
      <c r="D67" s="753"/>
      <c r="E67" s="634">
        <f>'FORMATO PROPUESTA ECONÓMICA'!A65</f>
        <v>7.3</v>
      </c>
      <c r="F67" s="711" t="s">
        <v>424</v>
      </c>
      <c r="G67" s="622" t="s">
        <v>79</v>
      </c>
      <c r="H67" s="767"/>
      <c r="I67" s="623">
        <f>'FORMATO PROPUESTA ECONÓMICA'!E65</f>
        <v>0</v>
      </c>
      <c r="J67" s="623">
        <f t="shared" si="2"/>
        <v>0</v>
      </c>
      <c r="K67" s="764"/>
      <c r="M67" s="1119"/>
      <c r="N67" s="712"/>
    </row>
    <row r="68" spans="2:15" hidden="1" x14ac:dyDescent="0.25">
      <c r="B68" s="763"/>
      <c r="C68" s="752" t="e">
        <f>'FORMATO PROPUESTA ECONÓMICA'!#REF!</f>
        <v>#REF!</v>
      </c>
      <c r="D68" s="753"/>
      <c r="E68" s="634">
        <f>'FORMATO PROPUESTA ECONÓMICA'!A66</f>
        <v>7.4</v>
      </c>
      <c r="F68" s="711" t="s">
        <v>426</v>
      </c>
      <c r="G68" s="622" t="s">
        <v>79</v>
      </c>
      <c r="H68" s="767"/>
      <c r="I68" s="623">
        <f>'FORMATO PROPUESTA ECONÓMICA'!E66</f>
        <v>0</v>
      </c>
      <c r="J68" s="623">
        <f t="shared" si="2"/>
        <v>0</v>
      </c>
      <c r="K68" s="764"/>
      <c r="M68" s="1119"/>
      <c r="N68" s="712"/>
    </row>
    <row r="69" spans="2:15" x14ac:dyDescent="0.25">
      <c r="B69" s="763"/>
      <c r="C69" s="752" t="e">
        <f>'FORMATO PROPUESTA ECONÓMICA'!#REF!</f>
        <v>#REF!</v>
      </c>
      <c r="D69" s="753"/>
      <c r="E69" s="634">
        <f>'FORMATO PROPUESTA ECONÓMICA'!A67</f>
        <v>7.5</v>
      </c>
      <c r="F69" s="711" t="s">
        <v>425</v>
      </c>
      <c r="G69" s="622" t="s">
        <v>79</v>
      </c>
      <c r="H69" s="767">
        <v>100</v>
      </c>
      <c r="I69" s="623">
        <f>'FORMATO PROPUESTA ECONÓMICA'!E67</f>
        <v>0</v>
      </c>
      <c r="J69" s="623">
        <f t="shared" si="2"/>
        <v>0</v>
      </c>
      <c r="K69" s="764"/>
      <c r="M69" s="1119"/>
      <c r="N69" s="712"/>
    </row>
    <row r="70" spans="2:15" hidden="1" x14ac:dyDescent="0.25">
      <c r="B70" s="763"/>
      <c r="C70" s="752" t="e">
        <f>'FORMATO PROPUESTA ECONÓMICA'!#REF!</f>
        <v>#REF!</v>
      </c>
      <c r="D70" s="753"/>
      <c r="E70" s="634">
        <f>'FORMATO PROPUESTA ECONÓMICA'!A68</f>
        <v>7.6</v>
      </c>
      <c r="F70" s="711" t="s">
        <v>427</v>
      </c>
      <c r="G70" s="622" t="s">
        <v>79</v>
      </c>
      <c r="H70" s="767"/>
      <c r="I70" s="623">
        <f>'FORMATO PROPUESTA ECONÓMICA'!E68</f>
        <v>0</v>
      </c>
      <c r="J70" s="623">
        <f t="shared" si="2"/>
        <v>0</v>
      </c>
      <c r="K70" s="764"/>
      <c r="M70" s="1119"/>
      <c r="N70" s="712"/>
    </row>
    <row r="71" spans="2:15" hidden="1" x14ac:dyDescent="0.25">
      <c r="B71" s="763"/>
      <c r="C71" s="752" t="e">
        <f>'FORMATO PROPUESTA ECONÓMICA'!#REF!</f>
        <v>#REF!</v>
      </c>
      <c r="D71" s="753"/>
      <c r="E71" s="634">
        <f>'FORMATO PROPUESTA ECONÓMICA'!A69</f>
        <v>7.7</v>
      </c>
      <c r="F71" s="711" t="s">
        <v>429</v>
      </c>
      <c r="G71" s="622" t="s">
        <v>79</v>
      </c>
      <c r="H71" s="767"/>
      <c r="I71" s="623">
        <f>'FORMATO PROPUESTA ECONÓMICA'!E69</f>
        <v>0</v>
      </c>
      <c r="J71" s="623">
        <f t="shared" si="2"/>
        <v>0</v>
      </c>
      <c r="K71" s="764"/>
      <c r="M71" s="1119"/>
      <c r="N71" s="712"/>
    </row>
    <row r="72" spans="2:15" x14ac:dyDescent="0.25">
      <c r="B72" s="763"/>
      <c r="C72" s="752" t="e">
        <f>'FORMATO PROPUESTA ECONÓMICA'!#REF!</f>
        <v>#REF!</v>
      </c>
      <c r="D72" s="753"/>
      <c r="E72" s="634">
        <f>'FORMATO PROPUESTA ECONÓMICA'!A70</f>
        <v>7.8</v>
      </c>
      <c r="F72" s="711" t="s">
        <v>342</v>
      </c>
      <c r="G72" s="622" t="s">
        <v>79</v>
      </c>
      <c r="H72" s="767">
        <v>100</v>
      </c>
      <c r="I72" s="623">
        <f>'FORMATO PROPUESTA ECONÓMICA'!E70</f>
        <v>0</v>
      </c>
      <c r="J72" s="623">
        <f t="shared" si="2"/>
        <v>0</v>
      </c>
      <c r="K72" s="764"/>
      <c r="L72" s="764"/>
      <c r="M72" s="1119"/>
      <c r="N72" s="712"/>
    </row>
    <row r="73" spans="2:15" hidden="1" x14ac:dyDescent="0.25">
      <c r="B73" s="763"/>
      <c r="C73" s="752" t="e">
        <f>'FORMATO PROPUESTA ECONÓMICA'!#REF!</f>
        <v>#REF!</v>
      </c>
      <c r="D73" s="753"/>
      <c r="E73" s="620">
        <f>'FORMATO PROPUESTA ECONÓMICA'!A71</f>
        <v>7.9</v>
      </c>
      <c r="F73" s="711" t="s">
        <v>343</v>
      </c>
      <c r="G73" s="622" t="s">
        <v>79</v>
      </c>
      <c r="H73" s="767"/>
      <c r="I73" s="623">
        <f>'FORMATO PROPUESTA ECONÓMICA'!E71</f>
        <v>0</v>
      </c>
      <c r="J73" s="623">
        <f t="shared" si="2"/>
        <v>0</v>
      </c>
      <c r="K73" s="764"/>
      <c r="M73" s="1119"/>
      <c r="N73" s="712"/>
    </row>
    <row r="74" spans="2:15" x14ac:dyDescent="0.25">
      <c r="B74" s="763"/>
      <c r="C74" s="752" t="e">
        <f>'FORMATO PROPUESTA ECONÓMICA'!#REF!</f>
        <v>#REF!</v>
      </c>
      <c r="D74" s="753"/>
      <c r="E74" s="620">
        <f>'FORMATO PROPUESTA ECONÓMICA'!A72</f>
        <v>7.1</v>
      </c>
      <c r="F74" s="711" t="s">
        <v>344</v>
      </c>
      <c r="G74" s="622" t="s">
        <v>79</v>
      </c>
      <c r="H74" s="767">
        <v>20</v>
      </c>
      <c r="I74" s="623">
        <f>'FORMATO PROPUESTA ECONÓMICA'!E72</f>
        <v>0</v>
      </c>
      <c r="J74" s="623">
        <f t="shared" si="2"/>
        <v>0</v>
      </c>
      <c r="K74" s="764"/>
      <c r="M74" s="1119"/>
      <c r="N74" s="712"/>
    </row>
    <row r="75" spans="2:15" x14ac:dyDescent="0.25">
      <c r="B75" s="763"/>
      <c r="C75" s="752" t="e">
        <f>'FORMATO PROPUESTA ECONÓMICA'!#REF!</f>
        <v>#REF!</v>
      </c>
      <c r="D75" s="753"/>
      <c r="E75" s="620">
        <f>'FORMATO PROPUESTA ECONÓMICA'!A73</f>
        <v>7.11</v>
      </c>
      <c r="F75" s="711" t="s">
        <v>345</v>
      </c>
      <c r="G75" s="622" t="s">
        <v>79</v>
      </c>
      <c r="H75" s="767">
        <v>60</v>
      </c>
      <c r="I75" s="623">
        <f>'FORMATO PROPUESTA ECONÓMICA'!E73</f>
        <v>0</v>
      </c>
      <c r="J75" s="623">
        <f t="shared" si="2"/>
        <v>0</v>
      </c>
      <c r="K75" s="764"/>
      <c r="M75" s="1119"/>
      <c r="N75" s="712"/>
    </row>
    <row r="76" spans="2:15" ht="90" x14ac:dyDescent="0.25">
      <c r="C76" s="752" t="e">
        <f>'FORMATO PROPUESTA ECONÓMICA'!#REF!</f>
        <v>#REF!</v>
      </c>
      <c r="D76" s="753"/>
      <c r="E76" s="620">
        <f>'FORMATO PROPUESTA ECONÓMICA'!A74</f>
        <v>7.12</v>
      </c>
      <c r="F76" s="711" t="s">
        <v>462</v>
      </c>
      <c r="G76" s="622" t="s">
        <v>79</v>
      </c>
      <c r="H76" s="767">
        <v>60</v>
      </c>
      <c r="I76" s="623">
        <f>'FORMATO PROPUESTA ECONÓMICA'!E74</f>
        <v>0</v>
      </c>
      <c r="J76" s="623">
        <f t="shared" si="2"/>
        <v>0</v>
      </c>
      <c r="K76" s="764"/>
      <c r="M76" s="1119"/>
      <c r="N76" s="712"/>
      <c r="O76" s="764"/>
    </row>
    <row r="77" spans="2:15" x14ac:dyDescent="0.25">
      <c r="B77" s="763"/>
      <c r="C77" s="752" t="e">
        <f>'FORMATO PROPUESTA ECONÓMICA'!#REF!</f>
        <v>#REF!</v>
      </c>
      <c r="D77" s="753"/>
      <c r="E77" s="620">
        <f>'FORMATO PROPUESTA ECONÓMICA'!A75</f>
        <v>7.13</v>
      </c>
      <c r="F77" s="711" t="s">
        <v>346</v>
      </c>
      <c r="G77" s="622" t="s">
        <v>79</v>
      </c>
      <c r="H77" s="767">
        <v>60</v>
      </c>
      <c r="I77" s="623">
        <f>'FORMATO PROPUESTA ECONÓMICA'!E75</f>
        <v>0</v>
      </c>
      <c r="J77" s="623">
        <f t="shared" si="2"/>
        <v>0</v>
      </c>
      <c r="K77" s="764"/>
      <c r="M77" s="1119"/>
      <c r="N77" s="712"/>
      <c r="O77" s="764"/>
    </row>
    <row r="78" spans="2:15" x14ac:dyDescent="0.25">
      <c r="B78" s="763"/>
      <c r="C78" s="752" t="e">
        <f>'FORMATO PROPUESTA ECONÓMICA'!#REF!</f>
        <v>#REF!</v>
      </c>
      <c r="D78" s="753"/>
      <c r="E78" s="620">
        <f>'FORMATO PROPUESTA ECONÓMICA'!A76</f>
        <v>7.14</v>
      </c>
      <c r="F78" s="711" t="s">
        <v>347</v>
      </c>
      <c r="G78" s="622" t="s">
        <v>79</v>
      </c>
      <c r="H78" s="768">
        <v>100</v>
      </c>
      <c r="I78" s="623">
        <f>'FORMATO PROPUESTA ECONÓMICA'!E76</f>
        <v>0</v>
      </c>
      <c r="J78" s="623">
        <f t="shared" si="2"/>
        <v>0</v>
      </c>
      <c r="K78" s="764"/>
      <c r="M78" s="1119"/>
      <c r="N78" s="712"/>
    </row>
    <row r="79" spans="2:15" x14ac:dyDescent="0.25">
      <c r="B79" s="763"/>
      <c r="C79" s="752" t="e">
        <f>'FORMATO PROPUESTA ECONÓMICA'!#REF!</f>
        <v>#REF!</v>
      </c>
      <c r="D79" s="753"/>
      <c r="E79" s="620">
        <f>'FORMATO PROPUESTA ECONÓMICA'!A77</f>
        <v>7.15</v>
      </c>
      <c r="F79" s="711" t="s">
        <v>348</v>
      </c>
      <c r="G79" s="622" t="s">
        <v>79</v>
      </c>
      <c r="H79" s="769">
        <v>100</v>
      </c>
      <c r="I79" s="623">
        <f>'FORMATO PROPUESTA ECONÓMICA'!E77</f>
        <v>0</v>
      </c>
      <c r="J79" s="623">
        <f t="shared" si="2"/>
        <v>0</v>
      </c>
      <c r="K79" s="764"/>
      <c r="M79" s="1119"/>
      <c r="N79" s="712"/>
    </row>
    <row r="80" spans="2:15" x14ac:dyDescent="0.25">
      <c r="B80" s="763"/>
      <c r="C80" s="801"/>
      <c r="D80" s="805"/>
      <c r="E80" s="732">
        <f>'FORMATO PROPUESTA ECONÓMICA'!A78</f>
        <v>8</v>
      </c>
      <c r="F80" s="770" t="s">
        <v>349</v>
      </c>
      <c r="G80" s="807"/>
      <c r="H80" s="807"/>
      <c r="I80" s="803"/>
      <c r="J80" s="803"/>
      <c r="K80" s="764"/>
      <c r="L80" s="712"/>
      <c r="M80" s="1119"/>
      <c r="N80" s="712"/>
    </row>
    <row r="81" spans="2:15" x14ac:dyDescent="0.25">
      <c r="B81" s="763"/>
      <c r="C81" s="752" t="e">
        <f>'FORMATO PROPUESTA ECONÓMICA'!#REF!</f>
        <v>#REF!</v>
      </c>
      <c r="D81" s="753"/>
      <c r="E81" s="634">
        <f>'FORMATO PROPUESTA ECONÓMICA'!A79</f>
        <v>8.1</v>
      </c>
      <c r="F81" s="711" t="s">
        <v>83</v>
      </c>
      <c r="G81" s="622" t="s">
        <v>79</v>
      </c>
      <c r="H81" s="771">
        <v>3</v>
      </c>
      <c r="I81" s="623">
        <f>'FORMATO PROPUESTA ECONÓMICA'!E79</f>
        <v>0</v>
      </c>
      <c r="J81" s="623">
        <f t="shared" ref="J81:J101" si="3">IF(ISERROR(+H81*I81),"",+H81*I81)</f>
        <v>0</v>
      </c>
      <c r="K81" s="764"/>
      <c r="L81" s="712"/>
      <c r="M81" s="1119"/>
      <c r="N81" s="712"/>
    </row>
    <row r="82" spans="2:15" hidden="1" x14ac:dyDescent="0.25">
      <c r="B82" s="763"/>
      <c r="C82" s="752" t="e">
        <f>'FORMATO PROPUESTA ECONÓMICA'!#REF!</f>
        <v>#REF!</v>
      </c>
      <c r="D82" s="753"/>
      <c r="E82" s="634">
        <f>'FORMATO PROPUESTA ECONÓMICA'!A80</f>
        <v>8.1999999999999993</v>
      </c>
      <c r="F82" s="711" t="s">
        <v>84</v>
      </c>
      <c r="G82" s="622" t="s">
        <v>79</v>
      </c>
      <c r="H82" s="757"/>
      <c r="I82" s="623">
        <f>'FORMATO PROPUESTA ECONÓMICA'!E80</f>
        <v>0</v>
      </c>
      <c r="J82" s="623">
        <f t="shared" si="3"/>
        <v>0</v>
      </c>
      <c r="K82" s="764"/>
      <c r="M82" s="1119"/>
      <c r="N82" s="712"/>
    </row>
    <row r="83" spans="2:15" hidden="1" x14ac:dyDescent="0.25">
      <c r="B83" s="763"/>
      <c r="C83" s="752" t="e">
        <f>'FORMATO PROPUESTA ECONÓMICA'!#REF!</f>
        <v>#REF!</v>
      </c>
      <c r="D83" s="753"/>
      <c r="E83" s="634">
        <f>'FORMATO PROPUESTA ECONÓMICA'!A81</f>
        <v>8.3000000000000007</v>
      </c>
      <c r="F83" s="711" t="s">
        <v>85</v>
      </c>
      <c r="G83" s="622" t="s">
        <v>79</v>
      </c>
      <c r="H83" s="772"/>
      <c r="I83" s="623">
        <f>'FORMATO PROPUESTA ECONÓMICA'!E81</f>
        <v>0</v>
      </c>
      <c r="J83" s="623">
        <f t="shared" si="3"/>
        <v>0</v>
      </c>
      <c r="K83" s="764"/>
      <c r="M83" s="1119"/>
      <c r="N83" s="712"/>
    </row>
    <row r="84" spans="2:15" hidden="1" x14ac:dyDescent="0.25">
      <c r="B84" s="763"/>
      <c r="C84" s="752" t="e">
        <f>'FORMATO PROPUESTA ECONÓMICA'!#REF!</f>
        <v>#REF!</v>
      </c>
      <c r="D84" s="753"/>
      <c r="E84" s="634">
        <f>'FORMATO PROPUESTA ECONÓMICA'!A82</f>
        <v>8.4</v>
      </c>
      <c r="F84" s="711" t="s">
        <v>86</v>
      </c>
      <c r="G84" s="622" t="s">
        <v>79</v>
      </c>
      <c r="H84" s="772"/>
      <c r="I84" s="623">
        <f>'FORMATO PROPUESTA ECONÓMICA'!E82</f>
        <v>0</v>
      </c>
      <c r="J84" s="623">
        <f t="shared" si="3"/>
        <v>0</v>
      </c>
      <c r="K84" s="764"/>
      <c r="M84" s="1119"/>
      <c r="N84" s="712"/>
    </row>
    <row r="85" spans="2:15" ht="30" x14ac:dyDescent="0.25">
      <c r="B85" s="763"/>
      <c r="C85" s="752" t="e">
        <f>'FORMATO PROPUESTA ECONÓMICA'!#REF!</f>
        <v>#REF!</v>
      </c>
      <c r="D85" s="753"/>
      <c r="E85" s="634">
        <f>'FORMATO PROPUESTA ECONÓMICA'!A83</f>
        <v>8.5</v>
      </c>
      <c r="F85" s="711" t="s">
        <v>519</v>
      </c>
      <c r="G85" s="622" t="s">
        <v>79</v>
      </c>
      <c r="H85" s="772">
        <v>60</v>
      </c>
      <c r="I85" s="623">
        <f>'FORMATO PROPUESTA ECONÓMICA'!E83</f>
        <v>0</v>
      </c>
      <c r="J85" s="623">
        <f t="shared" si="3"/>
        <v>0</v>
      </c>
      <c r="K85" s="764"/>
      <c r="M85" s="1119"/>
      <c r="N85" s="712"/>
    </row>
    <row r="86" spans="2:15" hidden="1" x14ac:dyDescent="0.25">
      <c r="B86" s="763"/>
      <c r="C86" s="752" t="e">
        <f>'FORMATO PROPUESTA ECONÓMICA'!#REF!</f>
        <v>#REF!</v>
      </c>
      <c r="D86" s="753"/>
      <c r="E86" s="634">
        <f>'FORMATO PROPUESTA ECONÓMICA'!A84</f>
        <v>8.6</v>
      </c>
      <c r="F86" s="711" t="s">
        <v>87</v>
      </c>
      <c r="G86" s="622" t="s">
        <v>79</v>
      </c>
      <c r="H86" s="772"/>
      <c r="I86" s="623">
        <f>'FORMATO PROPUESTA ECONÓMICA'!E84</f>
        <v>0</v>
      </c>
      <c r="J86" s="623">
        <f t="shared" si="3"/>
        <v>0</v>
      </c>
      <c r="K86" s="764"/>
      <c r="M86" s="1119"/>
      <c r="N86" s="712"/>
    </row>
    <row r="87" spans="2:15" x14ac:dyDescent="0.25">
      <c r="B87" s="763"/>
      <c r="C87" s="752" t="e">
        <f>'FORMATO PROPUESTA ECONÓMICA'!#REF!</f>
        <v>#REF!</v>
      </c>
      <c r="D87" s="753"/>
      <c r="E87" s="634">
        <f>'FORMATO PROPUESTA ECONÓMICA'!A85</f>
        <v>8.6999999999999993</v>
      </c>
      <c r="F87" s="711" t="s">
        <v>88</v>
      </c>
      <c r="G87" s="622" t="s">
        <v>79</v>
      </c>
      <c r="H87" s="772">
        <v>8</v>
      </c>
      <c r="I87" s="623">
        <f>'FORMATO PROPUESTA ECONÓMICA'!E85</f>
        <v>0</v>
      </c>
      <c r="J87" s="623">
        <f t="shared" si="3"/>
        <v>0</v>
      </c>
      <c r="K87" s="764"/>
      <c r="M87" s="1119"/>
      <c r="N87" s="712"/>
    </row>
    <row r="88" spans="2:15" hidden="1" x14ac:dyDescent="0.25">
      <c r="B88" s="763"/>
      <c r="C88" s="752" t="e">
        <f>'FORMATO PROPUESTA ECONÓMICA'!#REF!</f>
        <v>#REF!</v>
      </c>
      <c r="D88" s="753"/>
      <c r="E88" s="620">
        <f>'FORMATO PROPUESTA ECONÓMICA'!A86</f>
        <v>8.8000000000000007</v>
      </c>
      <c r="F88" s="711" t="s">
        <v>89</v>
      </c>
      <c r="G88" s="622" t="s">
        <v>79</v>
      </c>
      <c r="H88" s="772"/>
      <c r="I88" s="623">
        <f>'FORMATO PROPUESTA ECONÓMICA'!E86</f>
        <v>0</v>
      </c>
      <c r="J88" s="623">
        <f t="shared" si="3"/>
        <v>0</v>
      </c>
      <c r="K88" s="764"/>
      <c r="M88" s="1119"/>
      <c r="N88" s="712"/>
    </row>
    <row r="89" spans="2:15" hidden="1" x14ac:dyDescent="0.25">
      <c r="B89" s="763"/>
      <c r="C89" s="752" t="e">
        <f>'FORMATO PROPUESTA ECONÓMICA'!#REF!</f>
        <v>#REF!</v>
      </c>
      <c r="D89" s="753"/>
      <c r="E89" s="620">
        <f>'FORMATO PROPUESTA ECONÓMICA'!A87</f>
        <v>8.9</v>
      </c>
      <c r="F89" s="711" t="s">
        <v>90</v>
      </c>
      <c r="G89" s="622" t="s">
        <v>79</v>
      </c>
      <c r="H89" s="773"/>
      <c r="I89" s="623">
        <f>'FORMATO PROPUESTA ECONÓMICA'!E87</f>
        <v>0</v>
      </c>
      <c r="J89" s="623">
        <f t="shared" si="3"/>
        <v>0</v>
      </c>
      <c r="K89" s="764"/>
      <c r="M89" s="1119"/>
      <c r="N89" s="712"/>
    </row>
    <row r="90" spans="2:15" hidden="1" x14ac:dyDescent="0.25">
      <c r="B90" s="763"/>
      <c r="C90" s="752" t="e">
        <f>'FORMATO PROPUESTA ECONÓMICA'!#REF!</f>
        <v>#REF!</v>
      </c>
      <c r="D90" s="753"/>
      <c r="E90" s="620">
        <f>'FORMATO PROPUESTA ECONÓMICA'!A88</f>
        <v>8.1</v>
      </c>
      <c r="F90" s="711" t="s">
        <v>91</v>
      </c>
      <c r="G90" s="622" t="s">
        <v>79</v>
      </c>
      <c r="H90" s="772"/>
      <c r="I90" s="623">
        <f>'FORMATO PROPUESTA ECONÓMICA'!E88</f>
        <v>0</v>
      </c>
      <c r="J90" s="623">
        <f t="shared" si="3"/>
        <v>0</v>
      </c>
      <c r="K90" s="764"/>
      <c r="M90" s="1119"/>
      <c r="N90" s="712"/>
    </row>
    <row r="91" spans="2:15" ht="30" hidden="1" x14ac:dyDescent="0.25">
      <c r="B91" s="763"/>
      <c r="C91" s="752" t="e">
        <f>'FORMATO PROPUESTA ECONÓMICA'!#REF!</f>
        <v>#REF!</v>
      </c>
      <c r="D91" s="753"/>
      <c r="E91" s="620">
        <f>'FORMATO PROPUESTA ECONÓMICA'!A89</f>
        <v>8.11</v>
      </c>
      <c r="F91" s="711" t="s">
        <v>92</v>
      </c>
      <c r="G91" s="622" t="s">
        <v>79</v>
      </c>
      <c r="H91" s="772"/>
      <c r="I91" s="623">
        <f>'FORMATO PROPUESTA ECONÓMICA'!E89</f>
        <v>0</v>
      </c>
      <c r="J91" s="623">
        <f t="shared" si="3"/>
        <v>0</v>
      </c>
      <c r="K91" s="764"/>
      <c r="M91" s="1119"/>
      <c r="N91" s="712"/>
    </row>
    <row r="92" spans="2:15" ht="30" x14ac:dyDescent="0.25">
      <c r="B92" s="763"/>
      <c r="C92" s="752" t="e">
        <f>'FORMATO PROPUESTA ECONÓMICA'!#REF!</f>
        <v>#REF!</v>
      </c>
      <c r="D92" s="753"/>
      <c r="E92" s="620">
        <f>'FORMATO PROPUESTA ECONÓMICA'!A90</f>
        <v>8.1199999999999992</v>
      </c>
      <c r="F92" s="711" t="s">
        <v>93</v>
      </c>
      <c r="G92" s="622" t="s">
        <v>79</v>
      </c>
      <c r="H92" s="772">
        <v>4</v>
      </c>
      <c r="I92" s="623">
        <f>'FORMATO PROPUESTA ECONÓMICA'!E90</f>
        <v>0</v>
      </c>
      <c r="J92" s="623">
        <f t="shared" si="3"/>
        <v>0</v>
      </c>
      <c r="K92" s="764"/>
      <c r="M92" s="1119"/>
      <c r="N92" s="712"/>
    </row>
    <row r="93" spans="2:15" ht="30" hidden="1" x14ac:dyDescent="0.25">
      <c r="B93" s="763"/>
      <c r="C93" s="752" t="e">
        <f>'FORMATO PROPUESTA ECONÓMICA'!#REF!</f>
        <v>#REF!</v>
      </c>
      <c r="D93" s="753"/>
      <c r="E93" s="620">
        <f>'FORMATO PROPUESTA ECONÓMICA'!A91</f>
        <v>8.1300000000000008</v>
      </c>
      <c r="F93" s="711" t="s">
        <v>94</v>
      </c>
      <c r="G93" s="622" t="s">
        <v>79</v>
      </c>
      <c r="H93" s="772"/>
      <c r="I93" s="623">
        <f>'FORMATO PROPUESTA ECONÓMICA'!E91</f>
        <v>0</v>
      </c>
      <c r="J93" s="623">
        <f t="shared" si="3"/>
        <v>0</v>
      </c>
      <c r="K93" s="764"/>
      <c r="M93" s="1119"/>
      <c r="N93" s="712"/>
      <c r="O93" s="764"/>
    </row>
    <row r="94" spans="2:15" ht="30" hidden="1" x14ac:dyDescent="0.25">
      <c r="B94" s="763"/>
      <c r="C94" s="752" t="e">
        <f>'FORMATO PROPUESTA ECONÓMICA'!#REF!</f>
        <v>#REF!</v>
      </c>
      <c r="D94" s="753"/>
      <c r="E94" s="620">
        <f>'FORMATO PROPUESTA ECONÓMICA'!A92</f>
        <v>8.14</v>
      </c>
      <c r="F94" s="711" t="s">
        <v>95</v>
      </c>
      <c r="G94" s="622" t="s">
        <v>79</v>
      </c>
      <c r="H94" s="773"/>
      <c r="I94" s="623">
        <f>'FORMATO PROPUESTA ECONÓMICA'!E92</f>
        <v>0</v>
      </c>
      <c r="J94" s="623">
        <f t="shared" si="3"/>
        <v>0</v>
      </c>
      <c r="K94" s="764"/>
      <c r="M94" s="1119"/>
      <c r="N94" s="712"/>
      <c r="O94" s="764"/>
    </row>
    <row r="95" spans="2:15" ht="30" hidden="1" x14ac:dyDescent="0.25">
      <c r="B95" s="763"/>
      <c r="C95" s="752" t="e">
        <f>'FORMATO PROPUESTA ECONÓMICA'!#REF!</f>
        <v>#REF!</v>
      </c>
      <c r="D95" s="753"/>
      <c r="E95" s="620">
        <f>'FORMATO PROPUESTA ECONÓMICA'!A93</f>
        <v>8.15</v>
      </c>
      <c r="F95" s="711" t="s">
        <v>96</v>
      </c>
      <c r="G95" s="622" t="s">
        <v>79</v>
      </c>
      <c r="H95" s="772"/>
      <c r="I95" s="623">
        <f>'FORMATO PROPUESTA ECONÓMICA'!E93</f>
        <v>0</v>
      </c>
      <c r="J95" s="623">
        <f t="shared" si="3"/>
        <v>0</v>
      </c>
      <c r="K95" s="764"/>
      <c r="M95" s="1119"/>
      <c r="N95" s="712"/>
    </row>
    <row r="96" spans="2:15" ht="30" x14ac:dyDescent="0.25">
      <c r="B96" s="763"/>
      <c r="C96" s="752" t="e">
        <f>'FORMATO PROPUESTA ECONÓMICA'!#REF!</f>
        <v>#REF!</v>
      </c>
      <c r="D96" s="753"/>
      <c r="E96" s="620">
        <f>'FORMATO PROPUESTA ECONÓMICA'!A94</f>
        <v>8.16</v>
      </c>
      <c r="F96" s="810" t="s">
        <v>463</v>
      </c>
      <c r="G96" s="622" t="s">
        <v>79</v>
      </c>
      <c r="H96" s="772">
        <v>1</v>
      </c>
      <c r="I96" s="623">
        <f>'FORMATO PROPUESTA ECONÓMICA'!E94</f>
        <v>0</v>
      </c>
      <c r="J96" s="623">
        <f t="shared" si="3"/>
        <v>0</v>
      </c>
      <c r="K96" s="764"/>
      <c r="M96" s="1119"/>
      <c r="N96" s="712"/>
    </row>
    <row r="97" spans="2:15" ht="60" x14ac:dyDescent="0.25">
      <c r="B97" s="763"/>
      <c r="C97" s="752"/>
      <c r="D97" s="805"/>
      <c r="E97" s="732">
        <f>'FORMATO PROPUESTA ECONÓMICA'!A95</f>
        <v>9</v>
      </c>
      <c r="F97" s="770" t="s">
        <v>447</v>
      </c>
      <c r="G97" s="807"/>
      <c r="H97" s="774"/>
      <c r="I97" s="803"/>
      <c r="J97" s="803"/>
      <c r="K97" s="764"/>
      <c r="M97" s="1119"/>
      <c r="N97" s="712"/>
    </row>
    <row r="98" spans="2:15" ht="53.25" customHeight="1" x14ac:dyDescent="0.25">
      <c r="B98" s="763"/>
      <c r="C98" s="752"/>
      <c r="D98" s="753"/>
      <c r="E98" s="620">
        <f>'FORMATO PROPUESTA ECONÓMICA'!A96</f>
        <v>9.1</v>
      </c>
      <c r="F98" s="621" t="s">
        <v>450</v>
      </c>
      <c r="G98" s="811" t="s">
        <v>79</v>
      </c>
      <c r="H98" s="772"/>
      <c r="I98" s="803"/>
      <c r="J98" s="623">
        <f t="shared" si="3"/>
        <v>0</v>
      </c>
      <c r="K98" s="764"/>
      <c r="M98" s="1119"/>
      <c r="N98" s="712"/>
    </row>
    <row r="99" spans="2:15" ht="55.5" customHeight="1" x14ac:dyDescent="0.25">
      <c r="B99" s="763"/>
      <c r="C99" s="752"/>
      <c r="D99" s="753"/>
      <c r="E99" s="620" t="e">
        <f>'FORMATO PROPUESTA ECONÓMICA'!#REF!</f>
        <v>#REF!</v>
      </c>
      <c r="F99" s="621" t="s">
        <v>451</v>
      </c>
      <c r="G99" s="811" t="s">
        <v>79</v>
      </c>
      <c r="H99" s="772"/>
      <c r="I99" s="803"/>
      <c r="J99" s="623">
        <f t="shared" si="3"/>
        <v>0</v>
      </c>
      <c r="K99" s="764"/>
      <c r="M99" s="1119"/>
      <c r="N99" s="712"/>
    </row>
    <row r="100" spans="2:15" x14ac:dyDescent="0.25">
      <c r="B100" s="763"/>
      <c r="C100" s="801"/>
      <c r="D100" s="805"/>
      <c r="E100" s="732">
        <f>'FORMATO PROPUESTA ECONÓMICA'!A125</f>
        <v>10</v>
      </c>
      <c r="F100" s="770" t="s">
        <v>97</v>
      </c>
      <c r="G100" s="807"/>
      <c r="H100" s="803"/>
      <c r="I100" s="803"/>
      <c r="J100" s="803"/>
      <c r="K100" s="764"/>
      <c r="L100" s="712"/>
      <c r="M100" s="1119"/>
      <c r="N100" s="712"/>
    </row>
    <row r="101" spans="2:15" ht="45" hidden="1" x14ac:dyDescent="0.25">
      <c r="B101" s="763"/>
      <c r="C101" s="801"/>
      <c r="D101" s="812"/>
      <c r="E101" s="620" t="str">
        <f>'FORMATO PROPUESTA ECONÓMICA'!A126</f>
        <v>10.1</v>
      </c>
      <c r="F101" s="776" t="s">
        <v>453</v>
      </c>
      <c r="G101" s="813" t="s">
        <v>79</v>
      </c>
      <c r="H101" s="814"/>
      <c r="I101" s="623">
        <f>'FORMATO PROPUESTA ECONÓMICA'!E126</f>
        <v>0</v>
      </c>
      <c r="J101" s="623">
        <f t="shared" si="3"/>
        <v>0</v>
      </c>
      <c r="K101" s="764"/>
      <c r="L101" s="712"/>
      <c r="M101" s="1119"/>
      <c r="N101" s="712"/>
    </row>
    <row r="102" spans="2:15" ht="60" x14ac:dyDescent="0.25">
      <c r="B102" s="763"/>
      <c r="C102" s="752" t="e">
        <f>'FORMATO PROPUESTA ECONÓMICA'!#REF!</f>
        <v>#REF!</v>
      </c>
      <c r="D102" s="753"/>
      <c r="E102" s="634">
        <f>'FORMATO PROPUESTA ECONÓMICA'!A127</f>
        <v>10.199999999999999</v>
      </c>
      <c r="F102" s="711" t="s">
        <v>444</v>
      </c>
      <c r="G102" s="622" t="s">
        <v>79</v>
      </c>
      <c r="H102" s="772">
        <v>60</v>
      </c>
      <c r="I102" s="623">
        <f>'FORMATO PROPUESTA ECONÓMICA'!E127</f>
        <v>0</v>
      </c>
      <c r="J102" s="623">
        <f>IF(ISERROR(+H102*I102),"",+H102*I102)</f>
        <v>0</v>
      </c>
      <c r="K102" s="764"/>
      <c r="L102" s="712"/>
      <c r="M102" s="1119"/>
      <c r="N102" s="712"/>
    </row>
    <row r="103" spans="2:15" ht="60" x14ac:dyDescent="0.25">
      <c r="B103" s="763"/>
      <c r="C103" s="752" t="e">
        <f>'FORMATO PROPUESTA ECONÓMICA'!#REF!</f>
        <v>#REF!</v>
      </c>
      <c r="D103" s="753"/>
      <c r="E103" s="634" t="str">
        <f>'FORMATO PROPUESTA ECONÓMICA'!A128</f>
        <v>10.3</v>
      </c>
      <c r="F103" s="711" t="s">
        <v>98</v>
      </c>
      <c r="G103" s="622" t="s">
        <v>79</v>
      </c>
      <c r="H103" s="762">
        <v>5</v>
      </c>
      <c r="I103" s="623">
        <f>'FORMATO PROPUESTA ECONÓMICA'!E128</f>
        <v>0</v>
      </c>
      <c r="J103" s="623">
        <f>IF(ISERROR(+H103*I103),"",+H103*I103)</f>
        <v>0</v>
      </c>
      <c r="K103" s="764"/>
      <c r="L103" s="764"/>
      <c r="M103" s="1119"/>
      <c r="N103" s="712"/>
    </row>
    <row r="104" spans="2:15" x14ac:dyDescent="0.25">
      <c r="C104" s="752" t="e">
        <f>'FORMATO PROPUESTA ECONÓMICA'!#REF!</f>
        <v>#REF!</v>
      </c>
      <c r="D104" s="753"/>
      <c r="E104" s="620" t="str">
        <f>'FORMATO PROPUESTA ECONÓMICA'!A129</f>
        <v>10.4</v>
      </c>
      <c r="F104" s="711" t="s">
        <v>99</v>
      </c>
      <c r="G104" s="622" t="s">
        <v>59</v>
      </c>
      <c r="H104" s="762">
        <v>707</v>
      </c>
      <c r="I104" s="623">
        <f>'FORMATO PROPUESTA ECONÓMICA'!E129</f>
        <v>0</v>
      </c>
      <c r="J104" s="623">
        <f>IF(ISERROR(+H104*I104),"",+H104*I104)</f>
        <v>0</v>
      </c>
      <c r="K104" s="764"/>
      <c r="L104" s="764"/>
      <c r="M104" s="1119"/>
      <c r="N104" s="712"/>
    </row>
    <row r="105" spans="2:15" x14ac:dyDescent="0.25">
      <c r="C105" s="752" t="e">
        <f>'FORMATO PROPUESTA ECONÓMICA'!#REF!</f>
        <v>#REF!</v>
      </c>
      <c r="D105" s="753"/>
      <c r="E105" s="620">
        <f>'FORMATO PROPUESTA ECONÓMICA'!A130</f>
        <v>10.5</v>
      </c>
      <c r="F105" s="711" t="s">
        <v>100</v>
      </c>
      <c r="G105" s="622" t="s">
        <v>15</v>
      </c>
      <c r="H105" s="759">
        <v>0.32029011946072855</v>
      </c>
      <c r="I105" s="623">
        <f>'FORMATO PROPUESTA ECONÓMICA'!E130</f>
        <v>0</v>
      </c>
      <c r="J105" s="623">
        <f>IF(ISERROR(+H105*I105),"",+H105*I105)</f>
        <v>0</v>
      </c>
      <c r="K105" s="764"/>
      <c r="M105" s="1119"/>
      <c r="N105" s="712"/>
    </row>
    <row r="106" spans="2:15" ht="45" hidden="1" x14ac:dyDescent="0.25">
      <c r="C106" s="752" t="e">
        <f>'FORMATO PROPUESTA ECONÓMICA'!#REF!</f>
        <v>#REF!</v>
      </c>
      <c r="D106" s="753"/>
      <c r="E106" s="620">
        <f>'FORMATO PROPUESTA ECONÓMICA'!A131</f>
        <v>10.6</v>
      </c>
      <c r="F106" s="711" t="s">
        <v>101</v>
      </c>
      <c r="G106" s="622" t="s">
        <v>352</v>
      </c>
      <c r="H106" s="766"/>
      <c r="I106" s="623">
        <f>'FORMATO PROPUESTA ECONÓMICA'!E131</f>
        <v>0</v>
      </c>
      <c r="J106" s="623">
        <f t="shared" ref="J106:J107" si="4">IF(ISERROR(+H106*I106),"",+H106*I106)</f>
        <v>0</v>
      </c>
      <c r="K106" s="764"/>
      <c r="M106" s="1119"/>
      <c r="N106" s="712"/>
      <c r="O106" s="764"/>
    </row>
    <row r="107" spans="2:15" ht="30" hidden="1" x14ac:dyDescent="0.25">
      <c r="C107" s="752"/>
      <c r="D107" s="753"/>
      <c r="E107" s="620">
        <f>'FORMATO PROPUESTA ECONÓMICA'!A132</f>
        <v>10.7</v>
      </c>
      <c r="F107" s="633" t="s">
        <v>465</v>
      </c>
      <c r="G107" s="628" t="s">
        <v>16</v>
      </c>
      <c r="H107" s="766"/>
      <c r="I107" s="623">
        <f>'FORMATO PROPUESTA ECONÓMICA'!E132</f>
        <v>0</v>
      </c>
      <c r="J107" s="623">
        <f t="shared" si="4"/>
        <v>0</v>
      </c>
      <c r="K107" s="764"/>
      <c r="M107" s="1119"/>
      <c r="N107" s="712"/>
      <c r="O107" s="764"/>
    </row>
    <row r="108" spans="2:15" x14ac:dyDescent="0.25">
      <c r="B108" s="763"/>
      <c r="C108" s="801"/>
      <c r="D108" s="805"/>
      <c r="E108" s="732">
        <f>'FORMATO PROPUESTA ECONÓMICA'!A133</f>
        <v>11</v>
      </c>
      <c r="F108" s="778" t="s">
        <v>102</v>
      </c>
      <c r="G108" s="779"/>
      <c r="H108" s="803"/>
      <c r="I108" s="803"/>
      <c r="J108" s="803"/>
      <c r="K108" s="764"/>
      <c r="L108" s="712"/>
      <c r="M108" s="1119"/>
      <c r="N108" s="712"/>
      <c r="O108" s="764"/>
    </row>
    <row r="109" spans="2:15" ht="30" hidden="1" x14ac:dyDescent="0.25">
      <c r="B109" s="763"/>
      <c r="C109" s="752" t="e">
        <f>'FORMATO PROPUESTA ECONÓMICA'!#REF!</f>
        <v>#REF!</v>
      </c>
      <c r="D109" s="753"/>
      <c r="E109" s="620">
        <f>'FORMATO PROPUESTA ECONÓMICA'!A134</f>
        <v>11.1</v>
      </c>
      <c r="F109" s="711" t="s">
        <v>103</v>
      </c>
      <c r="G109" s="622" t="s">
        <v>15</v>
      </c>
      <c r="H109" s="780"/>
      <c r="I109" s="623">
        <f>'FORMATO PROPUESTA ECONÓMICA'!E134</f>
        <v>0</v>
      </c>
      <c r="J109" s="623">
        <f>IF(ISERROR(+H109*I109),"",+H109*I109)</f>
        <v>0</v>
      </c>
      <c r="K109" s="764"/>
      <c r="L109" s="712"/>
      <c r="M109" s="1119"/>
      <c r="N109" s="712"/>
    </row>
    <row r="110" spans="2:15" x14ac:dyDescent="0.25">
      <c r="B110" s="763"/>
      <c r="C110" s="752" t="e">
        <f>'FORMATO PROPUESTA ECONÓMICA'!#REF!</f>
        <v>#REF!</v>
      </c>
      <c r="D110" s="753"/>
      <c r="E110" s="620">
        <f>'FORMATO PROPUESTA ECONÓMICA'!A135</f>
        <v>11.2</v>
      </c>
      <c r="F110" s="711" t="s">
        <v>104</v>
      </c>
      <c r="G110" s="622" t="s">
        <v>15</v>
      </c>
      <c r="H110" s="762">
        <v>42</v>
      </c>
      <c r="I110" s="623">
        <f>'FORMATO PROPUESTA ECONÓMICA'!E135</f>
        <v>0</v>
      </c>
      <c r="J110" s="623">
        <f>IF(ISERROR(+H110*I110),"",+H110*I110)</f>
        <v>0</v>
      </c>
      <c r="K110" s="764"/>
      <c r="L110" s="764"/>
      <c r="M110" s="1119"/>
      <c r="N110" s="712"/>
    </row>
    <row r="111" spans="2:15" ht="60" x14ac:dyDescent="0.25">
      <c r="B111" s="763"/>
      <c r="C111" s="752" t="e">
        <f>'FORMATO PROPUESTA ECONÓMICA'!#REF!</f>
        <v>#REF!</v>
      </c>
      <c r="D111" s="753"/>
      <c r="E111" s="620">
        <f>'FORMATO PROPUESTA ECONÓMICA'!A136</f>
        <v>11.3</v>
      </c>
      <c r="F111" s="711" t="s">
        <v>105</v>
      </c>
      <c r="G111" s="622" t="s">
        <v>15</v>
      </c>
      <c r="H111" s="762">
        <v>42</v>
      </c>
      <c r="I111" s="623">
        <f>'FORMATO PROPUESTA ECONÓMICA'!E136</f>
        <v>0</v>
      </c>
      <c r="J111" s="623">
        <f>IF(ISERROR(+H111*I111),"",+H111*I111)</f>
        <v>0</v>
      </c>
      <c r="K111" s="764"/>
      <c r="M111" s="1119"/>
      <c r="N111" s="712"/>
      <c r="O111" s="764"/>
    </row>
    <row r="112" spans="2:15" ht="45" hidden="1" x14ac:dyDescent="0.25">
      <c r="B112" s="763"/>
      <c r="C112" s="752" t="e">
        <f>'FORMATO PROPUESTA ECONÓMICA'!#REF!</f>
        <v>#REF!</v>
      </c>
      <c r="D112" s="753"/>
      <c r="E112" s="620">
        <f>'FORMATO PROPUESTA ECONÓMICA'!A137</f>
        <v>11.4</v>
      </c>
      <c r="F112" s="711" t="s">
        <v>106</v>
      </c>
      <c r="G112" s="622" t="s">
        <v>15</v>
      </c>
      <c r="H112" s="762"/>
      <c r="I112" s="623">
        <v>926131.99</v>
      </c>
      <c r="J112" s="623">
        <f>IF(ISERROR(+H112*I112),"",+H112*I112)</f>
        <v>0</v>
      </c>
      <c r="K112" s="764"/>
      <c r="M112" s="1119"/>
      <c r="N112" s="712"/>
    </row>
    <row r="113" spans="2:14" hidden="1" x14ac:dyDescent="0.25">
      <c r="B113" s="763"/>
      <c r="C113" s="801"/>
      <c r="D113" s="805"/>
      <c r="E113" s="732">
        <f>'FORMATO PROPUESTA ECONÓMICA'!A138</f>
        <v>12</v>
      </c>
      <c r="F113" s="802" t="s">
        <v>350</v>
      </c>
      <c r="G113" s="807"/>
      <c r="H113" s="803"/>
      <c r="I113" s="803"/>
      <c r="J113" s="803"/>
      <c r="K113" s="764"/>
      <c r="L113" s="712"/>
      <c r="M113" s="1119"/>
      <c r="N113" s="712"/>
    </row>
    <row r="114" spans="2:14" hidden="1" x14ac:dyDescent="0.25">
      <c r="B114" s="763"/>
      <c r="C114" s="752" t="e">
        <f>'FORMATO PROPUESTA ECONÓMICA'!#REF!</f>
        <v>#REF!</v>
      </c>
      <c r="D114" s="753"/>
      <c r="E114" s="634">
        <f>'FORMATO PROPUESTA ECONÓMICA'!A139</f>
        <v>12.1</v>
      </c>
      <c r="F114" s="621" t="s">
        <v>351</v>
      </c>
      <c r="G114" s="622" t="s">
        <v>79</v>
      </c>
      <c r="H114" s="762">
        <f>H96+H81+H62+H41</f>
        <v>12</v>
      </c>
      <c r="I114" s="623"/>
      <c r="J114" s="623">
        <f>IF(ISERROR(+H114*I114),"",+H114*I114)</f>
        <v>0</v>
      </c>
      <c r="K114" s="764"/>
      <c r="M114" s="1119"/>
      <c r="N114" s="712"/>
    </row>
    <row r="115" spans="2:14" x14ac:dyDescent="0.25">
      <c r="B115" s="763"/>
      <c r="C115" s="801"/>
      <c r="D115" s="805"/>
      <c r="E115" s="732"/>
      <c r="F115" s="808" t="s">
        <v>18</v>
      </c>
      <c r="G115" s="807"/>
      <c r="H115" s="803"/>
      <c r="I115" s="803"/>
      <c r="J115" s="803"/>
      <c r="K115" s="764"/>
      <c r="L115" s="1016"/>
      <c r="M115" s="1119"/>
      <c r="N115" s="712"/>
    </row>
    <row r="116" spans="2:14" ht="30" x14ac:dyDescent="0.25">
      <c r="B116" s="763"/>
      <c r="C116" s="801"/>
      <c r="D116" s="805"/>
      <c r="E116" s="732" t="e">
        <f>'FORMATO PROPUESTA ECONÓMICA'!#REF!</f>
        <v>#REF!</v>
      </c>
      <c r="F116" s="808" t="s">
        <v>367</v>
      </c>
      <c r="G116" s="807"/>
      <c r="H116" s="803"/>
      <c r="I116" s="803"/>
      <c r="J116" s="803"/>
      <c r="K116" s="764"/>
      <c r="M116" s="1119"/>
      <c r="N116" s="712"/>
    </row>
    <row r="117" spans="2:14" hidden="1" x14ac:dyDescent="0.25">
      <c r="B117" s="763"/>
      <c r="C117" s="752" t="e">
        <f>'FORMATO PROPUESTA ECONÓMICA'!#REF!</f>
        <v>#REF!</v>
      </c>
      <c r="D117" s="753"/>
      <c r="E117" s="620" t="e">
        <f>'FORMATO PROPUESTA ECONÓMICA'!#REF!</f>
        <v>#REF!</v>
      </c>
      <c r="F117" s="711" t="s">
        <v>368</v>
      </c>
      <c r="G117" s="622" t="str">
        <f t="shared" ref="G117:H128" si="5">G35</f>
        <v>ml</v>
      </c>
      <c r="H117" s="623">
        <f t="shared" si="5"/>
        <v>0</v>
      </c>
      <c r="I117" s="623">
        <v>10208</v>
      </c>
      <c r="J117" s="623">
        <f t="shared" ref="J117:J143" si="6">IF(ISERROR(+H117*I117),"",+H117*I117)</f>
        <v>0</v>
      </c>
      <c r="K117" s="764"/>
      <c r="M117" s="1119"/>
    </row>
    <row r="118" spans="2:14" x14ac:dyDescent="0.25">
      <c r="B118" s="763"/>
      <c r="C118" s="752" t="e">
        <f>'FORMATO PROPUESTA ECONÓMICA'!#REF!</f>
        <v>#REF!</v>
      </c>
      <c r="D118" s="753"/>
      <c r="E118" s="620" t="e">
        <f>'FORMATO PROPUESTA ECONÓMICA'!#REF!</f>
        <v>#REF!</v>
      </c>
      <c r="F118" s="711" t="s">
        <v>404</v>
      </c>
      <c r="G118" s="622" t="str">
        <f t="shared" si="5"/>
        <v>ml</v>
      </c>
      <c r="H118" s="623">
        <f t="shared" si="5"/>
        <v>707</v>
      </c>
      <c r="I118" s="623">
        <v>13708</v>
      </c>
      <c r="J118" s="623">
        <f t="shared" si="6"/>
        <v>9691556</v>
      </c>
      <c r="K118" s="764"/>
      <c r="M118" s="1119"/>
    </row>
    <row r="119" spans="2:14" hidden="1" x14ac:dyDescent="0.25">
      <c r="B119" s="763"/>
      <c r="C119" s="752" t="e">
        <f>'FORMATO PROPUESTA ECONÓMICA'!#REF!</f>
        <v>#REF!</v>
      </c>
      <c r="D119" s="753"/>
      <c r="E119" s="620" t="e">
        <f>'FORMATO PROPUESTA ECONÓMICA'!#REF!</f>
        <v>#REF!</v>
      </c>
      <c r="F119" s="711" t="s">
        <v>405</v>
      </c>
      <c r="G119" s="622" t="str">
        <f t="shared" si="5"/>
        <v>ml</v>
      </c>
      <c r="H119" s="623">
        <f t="shared" si="5"/>
        <v>0</v>
      </c>
      <c r="I119" s="623">
        <v>20240</v>
      </c>
      <c r="J119" s="623">
        <f t="shared" si="6"/>
        <v>0</v>
      </c>
      <c r="K119" s="764"/>
      <c r="M119" s="1119"/>
    </row>
    <row r="120" spans="2:14" hidden="1" x14ac:dyDescent="0.25">
      <c r="B120" s="763"/>
      <c r="C120" s="752" t="e">
        <f>'FORMATO PROPUESTA ECONÓMICA'!#REF!</f>
        <v>#REF!</v>
      </c>
      <c r="D120" s="753"/>
      <c r="E120" s="620" t="e">
        <f>'FORMATO PROPUESTA ECONÓMICA'!#REF!</f>
        <v>#REF!</v>
      </c>
      <c r="F120" s="711" t="s">
        <v>406</v>
      </c>
      <c r="G120" s="622" t="str">
        <f t="shared" si="5"/>
        <v>ml</v>
      </c>
      <c r="H120" s="623">
        <f t="shared" si="5"/>
        <v>0</v>
      </c>
      <c r="I120" s="623">
        <v>43240</v>
      </c>
      <c r="J120" s="623">
        <f t="shared" si="6"/>
        <v>0</v>
      </c>
      <c r="K120" s="764"/>
      <c r="M120" s="1119"/>
    </row>
    <row r="121" spans="2:14" hidden="1" x14ac:dyDescent="0.25">
      <c r="B121" s="763"/>
      <c r="C121" s="752" t="e">
        <f>'FORMATO PROPUESTA ECONÓMICA'!#REF!</f>
        <v>#REF!</v>
      </c>
      <c r="D121" s="753"/>
      <c r="E121" s="620" t="e">
        <f>'FORMATO PROPUESTA ECONÓMICA'!#REF!</f>
        <v>#REF!</v>
      </c>
      <c r="F121" s="711" t="s">
        <v>407</v>
      </c>
      <c r="G121" s="622" t="str">
        <f t="shared" si="5"/>
        <v>ml</v>
      </c>
      <c r="H121" s="623">
        <f t="shared" si="5"/>
        <v>0</v>
      </c>
      <c r="I121" s="623">
        <v>97199</v>
      </c>
      <c r="J121" s="623">
        <f t="shared" si="6"/>
        <v>0</v>
      </c>
      <c r="K121" s="764"/>
      <c r="M121" s="1119"/>
    </row>
    <row r="122" spans="2:14" hidden="1" x14ac:dyDescent="0.25">
      <c r="B122" s="763"/>
      <c r="C122" s="752" t="e">
        <f>'FORMATO PROPUESTA ECONÓMICA'!#REF!</f>
        <v>#REF!</v>
      </c>
      <c r="D122" s="753"/>
      <c r="E122" s="620" t="e">
        <f>'FORMATO PROPUESTA ECONÓMICA'!#REF!</f>
        <v>#REF!</v>
      </c>
      <c r="F122" s="711" t="s">
        <v>379</v>
      </c>
      <c r="G122" s="622" t="str">
        <f t="shared" si="5"/>
        <v>und</v>
      </c>
      <c r="H122" s="623">
        <f t="shared" si="5"/>
        <v>0</v>
      </c>
      <c r="I122" s="623">
        <v>39195</v>
      </c>
      <c r="J122" s="623">
        <f t="shared" si="6"/>
        <v>0</v>
      </c>
      <c r="K122" s="764"/>
      <c r="M122" s="1119"/>
    </row>
    <row r="123" spans="2:14" x14ac:dyDescent="0.25">
      <c r="B123" s="763"/>
      <c r="C123" s="752" t="e">
        <f>'FORMATO PROPUESTA ECONÓMICA'!#REF!</f>
        <v>#REF!</v>
      </c>
      <c r="D123" s="753"/>
      <c r="E123" s="620" t="e">
        <f>'FORMATO PROPUESTA ECONÓMICA'!#REF!</f>
        <v>#REF!</v>
      </c>
      <c r="F123" s="711" t="s">
        <v>380</v>
      </c>
      <c r="G123" s="622" t="str">
        <f t="shared" si="5"/>
        <v>und</v>
      </c>
      <c r="H123" s="623">
        <f t="shared" si="5"/>
        <v>6</v>
      </c>
      <c r="I123" s="623">
        <v>47749</v>
      </c>
      <c r="J123" s="623">
        <f t="shared" si="6"/>
        <v>286494</v>
      </c>
      <c r="K123" s="764"/>
      <c r="L123" s="764"/>
      <c r="M123" s="1119"/>
    </row>
    <row r="124" spans="2:14" hidden="1" x14ac:dyDescent="0.25">
      <c r="B124" s="763"/>
      <c r="C124" s="752" t="e">
        <f>'FORMATO PROPUESTA ECONÓMICA'!#REF!</f>
        <v>#REF!</v>
      </c>
      <c r="D124" s="753"/>
      <c r="E124" s="620" t="e">
        <f>'FORMATO PROPUESTA ECONÓMICA'!#REF!</f>
        <v>#REF!</v>
      </c>
      <c r="F124" s="711" t="s">
        <v>408</v>
      </c>
      <c r="G124" s="622" t="str">
        <f t="shared" si="5"/>
        <v>und</v>
      </c>
      <c r="H124" s="623">
        <f t="shared" si="5"/>
        <v>0</v>
      </c>
      <c r="I124" s="623">
        <v>64172</v>
      </c>
      <c r="J124" s="623">
        <f t="shared" si="6"/>
        <v>0</v>
      </c>
      <c r="K124" s="764"/>
      <c r="M124" s="1119"/>
    </row>
    <row r="125" spans="2:14" hidden="1" x14ac:dyDescent="0.25">
      <c r="B125" s="763"/>
      <c r="C125" s="752" t="e">
        <f>'FORMATO PROPUESTA ECONÓMICA'!#REF!</f>
        <v>#REF!</v>
      </c>
      <c r="D125" s="753"/>
      <c r="E125" s="620" t="e">
        <f>'FORMATO PROPUESTA ECONÓMICA'!#REF!</f>
        <v>#REF!</v>
      </c>
      <c r="F125" s="711" t="s">
        <v>409</v>
      </c>
      <c r="G125" s="622" t="str">
        <f t="shared" si="5"/>
        <v>und</v>
      </c>
      <c r="H125" s="623">
        <f t="shared" si="5"/>
        <v>0</v>
      </c>
      <c r="I125" s="623">
        <v>244662</v>
      </c>
      <c r="J125" s="623">
        <f t="shared" si="6"/>
        <v>0</v>
      </c>
      <c r="K125" s="764"/>
      <c r="M125" s="1119"/>
    </row>
    <row r="126" spans="2:14" hidden="1" x14ac:dyDescent="0.25">
      <c r="B126" s="763"/>
      <c r="C126" s="752" t="e">
        <f>'FORMATO PROPUESTA ECONÓMICA'!#REF!</f>
        <v>#REF!</v>
      </c>
      <c r="D126" s="753"/>
      <c r="E126" s="620" t="e">
        <f>'FORMATO PROPUESTA ECONÓMICA'!#REF!</f>
        <v>#REF!</v>
      </c>
      <c r="F126" s="711" t="s">
        <v>410</v>
      </c>
      <c r="G126" s="622" t="str">
        <f t="shared" si="5"/>
        <v>und</v>
      </c>
      <c r="H126" s="623">
        <f t="shared" si="5"/>
        <v>0</v>
      </c>
      <c r="I126" s="623">
        <v>414183</v>
      </c>
      <c r="J126" s="623">
        <f t="shared" si="6"/>
        <v>0</v>
      </c>
      <c r="K126" s="764"/>
      <c r="M126" s="1119"/>
    </row>
    <row r="127" spans="2:14" hidden="1" x14ac:dyDescent="0.25">
      <c r="B127" s="763"/>
      <c r="C127" s="752" t="e">
        <f>'FORMATO PROPUESTA ECONÓMICA'!#REF!</f>
        <v>#REF!</v>
      </c>
      <c r="D127" s="753"/>
      <c r="E127" s="620" t="e">
        <f>'FORMATO PROPUESTA ECONÓMICA'!#REF!</f>
        <v>#REF!</v>
      </c>
      <c r="F127" s="711" t="s">
        <v>411</v>
      </c>
      <c r="G127" s="622" t="str">
        <f t="shared" si="5"/>
        <v>und</v>
      </c>
      <c r="H127" s="623">
        <f t="shared" si="5"/>
        <v>0</v>
      </c>
      <c r="I127" s="623">
        <v>64172</v>
      </c>
      <c r="J127" s="623">
        <f t="shared" si="6"/>
        <v>0</v>
      </c>
      <c r="K127" s="764"/>
      <c r="M127" s="1119"/>
    </row>
    <row r="128" spans="2:14" hidden="1" x14ac:dyDescent="0.25">
      <c r="B128" s="763"/>
      <c r="C128" s="752" t="e">
        <f>'FORMATO PROPUESTA ECONÓMICA'!#REF!</f>
        <v>#REF!</v>
      </c>
      <c r="D128" s="753"/>
      <c r="E128" s="620" t="e">
        <f>'FORMATO PROPUESTA ECONÓMICA'!#REF!</f>
        <v>#REF!</v>
      </c>
      <c r="F128" s="711" t="s">
        <v>446</v>
      </c>
      <c r="G128" s="622" t="str">
        <f t="shared" si="5"/>
        <v>und</v>
      </c>
      <c r="H128" s="623">
        <f t="shared" si="5"/>
        <v>0</v>
      </c>
      <c r="I128" s="623">
        <v>64173</v>
      </c>
      <c r="J128" s="623">
        <f t="shared" ref="J128" si="7">IF(ISERROR(+H128*I128),"",+H128*I128)</f>
        <v>0</v>
      </c>
      <c r="K128" s="764"/>
      <c r="M128" s="1119"/>
    </row>
    <row r="129" spans="2:13" hidden="1" x14ac:dyDescent="0.25">
      <c r="B129" s="763"/>
      <c r="C129" s="752" t="e">
        <f>'FORMATO PROPUESTA ECONÓMICA'!#REF!</f>
        <v>#REF!</v>
      </c>
      <c r="D129" s="753"/>
      <c r="E129" s="620" t="e">
        <f>'FORMATO PROPUESTA ECONÓMICA'!#REF!</f>
        <v>#REF!</v>
      </c>
      <c r="F129" s="711" t="s">
        <v>412</v>
      </c>
      <c r="G129" s="622" t="str">
        <f t="shared" ref="G129:G143" si="8">G47</f>
        <v>und</v>
      </c>
      <c r="H129" s="623">
        <f t="shared" ref="H129:H143" si="9">H47</f>
        <v>0</v>
      </c>
      <c r="I129" s="623">
        <v>39195</v>
      </c>
      <c r="J129" s="623">
        <f t="shared" si="6"/>
        <v>0</v>
      </c>
      <c r="K129" s="764"/>
      <c r="M129" s="1119"/>
    </row>
    <row r="130" spans="2:13" hidden="1" x14ac:dyDescent="0.25">
      <c r="B130" s="763"/>
      <c r="C130" s="752" t="e">
        <f>'FORMATO PROPUESTA ECONÓMICA'!#REF!</f>
        <v>#REF!</v>
      </c>
      <c r="D130" s="753"/>
      <c r="E130" s="620" t="e">
        <f>'FORMATO PROPUESTA ECONÓMICA'!#REF!</f>
        <v>#REF!</v>
      </c>
      <c r="F130" s="711" t="s">
        <v>413</v>
      </c>
      <c r="G130" s="622" t="str">
        <f t="shared" si="8"/>
        <v>und</v>
      </c>
      <c r="H130" s="623">
        <f t="shared" si="9"/>
        <v>0</v>
      </c>
      <c r="I130" s="623">
        <v>35639</v>
      </c>
      <c r="J130" s="623">
        <f t="shared" si="6"/>
        <v>0</v>
      </c>
      <c r="K130" s="764"/>
      <c r="M130" s="1119"/>
    </row>
    <row r="131" spans="2:13" hidden="1" x14ac:dyDescent="0.25">
      <c r="B131" s="763"/>
      <c r="C131" s="752" t="e">
        <f>'FORMATO PROPUESTA ECONÓMICA'!#REF!</f>
        <v>#REF!</v>
      </c>
      <c r="D131" s="753"/>
      <c r="E131" s="620" t="e">
        <f>'FORMATO PROPUESTA ECONÓMICA'!#REF!</f>
        <v>#REF!</v>
      </c>
      <c r="F131" s="711" t="s">
        <v>414</v>
      </c>
      <c r="G131" s="622" t="str">
        <f t="shared" si="8"/>
        <v>und</v>
      </c>
      <c r="H131" s="623">
        <f t="shared" si="9"/>
        <v>0</v>
      </c>
      <c r="I131" s="623">
        <v>38236</v>
      </c>
      <c r="J131" s="623">
        <f t="shared" si="6"/>
        <v>0</v>
      </c>
      <c r="K131" s="764"/>
      <c r="M131" s="1119"/>
    </row>
    <row r="132" spans="2:13" hidden="1" x14ac:dyDescent="0.25">
      <c r="B132" s="763"/>
      <c r="C132" s="752" t="e">
        <f>'FORMATO PROPUESTA ECONÓMICA'!#REF!</f>
        <v>#REF!</v>
      </c>
      <c r="D132" s="753"/>
      <c r="E132" s="620" t="e">
        <f>'FORMATO PROPUESTA ECONÓMICA'!#REF!</f>
        <v>#REF!</v>
      </c>
      <c r="F132" s="711" t="s">
        <v>415</v>
      </c>
      <c r="G132" s="622" t="str">
        <f t="shared" si="8"/>
        <v>und</v>
      </c>
      <c r="H132" s="623">
        <f t="shared" si="9"/>
        <v>0</v>
      </c>
      <c r="I132" s="623">
        <v>46509</v>
      </c>
      <c r="J132" s="623">
        <f t="shared" si="6"/>
        <v>0</v>
      </c>
      <c r="K132" s="764"/>
      <c r="M132" s="1119"/>
    </row>
    <row r="133" spans="2:13" hidden="1" x14ac:dyDescent="0.25">
      <c r="B133" s="763"/>
      <c r="C133" s="752" t="e">
        <f>'FORMATO PROPUESTA ECONÓMICA'!#REF!</f>
        <v>#REF!</v>
      </c>
      <c r="D133" s="753"/>
      <c r="E133" s="620" t="e">
        <f>'FORMATO PROPUESTA ECONÓMICA'!#REF!</f>
        <v>#REF!</v>
      </c>
      <c r="F133" s="711" t="s">
        <v>416</v>
      </c>
      <c r="G133" s="622" t="str">
        <f t="shared" si="8"/>
        <v>und</v>
      </c>
      <c r="H133" s="623">
        <f t="shared" si="9"/>
        <v>0</v>
      </c>
      <c r="I133" s="623">
        <v>35277.919999999998</v>
      </c>
      <c r="J133" s="623">
        <f t="shared" si="6"/>
        <v>0</v>
      </c>
      <c r="K133" s="764"/>
      <c r="M133" s="1119"/>
    </row>
    <row r="134" spans="2:13" hidden="1" x14ac:dyDescent="0.25">
      <c r="B134" s="763"/>
      <c r="C134" s="752" t="e">
        <f>'FORMATO PROPUESTA ECONÓMICA'!#REF!</f>
        <v>#REF!</v>
      </c>
      <c r="D134" s="753"/>
      <c r="E134" s="620" t="e">
        <f>'FORMATO PROPUESTA ECONÓMICA'!#REF!</f>
        <v>#REF!</v>
      </c>
      <c r="F134" s="711" t="s">
        <v>417</v>
      </c>
      <c r="G134" s="622" t="str">
        <f>G52</f>
        <v>und</v>
      </c>
      <c r="H134" s="623">
        <f t="shared" si="9"/>
        <v>0</v>
      </c>
      <c r="I134" s="623">
        <v>37681</v>
      </c>
      <c r="J134" s="623">
        <f t="shared" si="6"/>
        <v>0</v>
      </c>
      <c r="K134" s="764"/>
      <c r="M134" s="1119"/>
    </row>
    <row r="135" spans="2:13" hidden="1" x14ac:dyDescent="0.25">
      <c r="B135" s="763"/>
      <c r="C135" s="752" t="e">
        <f>'FORMATO PROPUESTA ECONÓMICA'!#REF!</f>
        <v>#REF!</v>
      </c>
      <c r="D135" s="753"/>
      <c r="E135" s="620" t="e">
        <f>'FORMATO PROPUESTA ECONÓMICA'!#REF!</f>
        <v>#REF!</v>
      </c>
      <c r="F135" s="711" t="s">
        <v>393</v>
      </c>
      <c r="G135" s="622" t="str">
        <f t="shared" si="8"/>
        <v>und</v>
      </c>
      <c r="H135" s="623">
        <f t="shared" si="9"/>
        <v>0</v>
      </c>
      <c r="I135" s="623">
        <v>39675</v>
      </c>
      <c r="J135" s="623">
        <f t="shared" si="6"/>
        <v>0</v>
      </c>
      <c r="K135" s="764"/>
      <c r="M135" s="1119"/>
    </row>
    <row r="136" spans="2:13" hidden="1" x14ac:dyDescent="0.25">
      <c r="B136" s="763"/>
      <c r="C136" s="752" t="e">
        <f>'FORMATO PROPUESTA ECONÓMICA'!#REF!</f>
        <v>#REF!</v>
      </c>
      <c r="D136" s="753"/>
      <c r="E136" s="620" t="e">
        <f>'FORMATO PROPUESTA ECONÓMICA'!#REF!</f>
        <v>#REF!</v>
      </c>
      <c r="F136" s="711" t="s">
        <v>394</v>
      </c>
      <c r="G136" s="622" t="str">
        <f t="shared" si="8"/>
        <v>und</v>
      </c>
      <c r="H136" s="623">
        <f t="shared" si="9"/>
        <v>0</v>
      </c>
      <c r="I136" s="623">
        <v>50625</v>
      </c>
      <c r="J136" s="623">
        <f t="shared" si="6"/>
        <v>0</v>
      </c>
      <c r="K136" s="764"/>
      <c r="M136" s="1119"/>
    </row>
    <row r="137" spans="2:13" hidden="1" x14ac:dyDescent="0.25">
      <c r="B137" s="763"/>
      <c r="C137" s="752" t="e">
        <f>'FORMATO PROPUESTA ECONÓMICA'!#REF!</f>
        <v>#REF!</v>
      </c>
      <c r="D137" s="753"/>
      <c r="E137" s="620" t="e">
        <f>'FORMATO PROPUESTA ECONÓMICA'!#REF!</f>
        <v>#REF!</v>
      </c>
      <c r="F137" s="711" t="s">
        <v>395</v>
      </c>
      <c r="G137" s="622" t="str">
        <f t="shared" si="8"/>
        <v>und</v>
      </c>
      <c r="H137" s="623">
        <f t="shared" si="9"/>
        <v>0</v>
      </c>
      <c r="I137" s="623">
        <v>134189</v>
      </c>
      <c r="J137" s="623">
        <f t="shared" si="6"/>
        <v>0</v>
      </c>
      <c r="K137" s="764"/>
      <c r="M137" s="1119"/>
    </row>
    <row r="138" spans="2:13" hidden="1" x14ac:dyDescent="0.25">
      <c r="B138" s="763"/>
      <c r="C138" s="752" t="e">
        <f>'FORMATO PROPUESTA ECONÓMICA'!#REF!</f>
        <v>#REF!</v>
      </c>
      <c r="D138" s="753"/>
      <c r="E138" s="620" t="e">
        <f>'FORMATO PROPUESTA ECONÓMICA'!#REF!</f>
        <v>#REF!</v>
      </c>
      <c r="F138" s="711" t="s">
        <v>396</v>
      </c>
      <c r="G138" s="622" t="str">
        <f t="shared" si="8"/>
        <v>und</v>
      </c>
      <c r="H138" s="623">
        <f t="shared" si="9"/>
        <v>0</v>
      </c>
      <c r="I138" s="623">
        <v>134189</v>
      </c>
      <c r="J138" s="623">
        <f t="shared" si="6"/>
        <v>0</v>
      </c>
      <c r="K138" s="764"/>
      <c r="M138" s="1119"/>
    </row>
    <row r="139" spans="2:13" hidden="1" x14ac:dyDescent="0.25">
      <c r="B139" s="763"/>
      <c r="C139" s="752" t="e">
        <f>'FORMATO PROPUESTA ECONÓMICA'!#REF!</f>
        <v>#REF!</v>
      </c>
      <c r="D139" s="753"/>
      <c r="E139" s="620" t="e">
        <f>'FORMATO PROPUESTA ECONÓMICA'!#REF!</f>
        <v>#REF!</v>
      </c>
      <c r="F139" s="711" t="s">
        <v>418</v>
      </c>
      <c r="G139" s="622" t="str">
        <f t="shared" si="8"/>
        <v>und</v>
      </c>
      <c r="H139" s="623">
        <f t="shared" si="9"/>
        <v>0</v>
      </c>
      <c r="I139" s="623">
        <v>29369</v>
      </c>
      <c r="J139" s="623">
        <f t="shared" si="6"/>
        <v>0</v>
      </c>
      <c r="K139" s="764"/>
      <c r="M139" s="1119"/>
    </row>
    <row r="140" spans="2:13" x14ac:dyDescent="0.25">
      <c r="B140" s="763"/>
      <c r="C140" s="752" t="e">
        <f>'FORMATO PROPUESTA ECONÓMICA'!#REF!</f>
        <v>#REF!</v>
      </c>
      <c r="D140" s="753"/>
      <c r="E140" s="620" t="e">
        <f>'FORMATO PROPUESTA ECONÓMICA'!#REF!</f>
        <v>#REF!</v>
      </c>
      <c r="F140" s="711" t="s">
        <v>419</v>
      </c>
      <c r="G140" s="622" t="str">
        <f t="shared" si="8"/>
        <v>und</v>
      </c>
      <c r="H140" s="623">
        <f t="shared" si="9"/>
        <v>8</v>
      </c>
      <c r="I140" s="623">
        <v>19705</v>
      </c>
      <c r="J140" s="623">
        <f t="shared" si="6"/>
        <v>157640</v>
      </c>
      <c r="K140" s="764"/>
      <c r="M140" s="1119"/>
    </row>
    <row r="141" spans="2:13" hidden="1" x14ac:dyDescent="0.25">
      <c r="B141" s="763"/>
      <c r="C141" s="752" t="e">
        <f>'FORMATO PROPUESTA ECONÓMICA'!#REF!</f>
        <v>#REF!</v>
      </c>
      <c r="D141" s="753"/>
      <c r="E141" s="620" t="e">
        <f>'FORMATO PROPUESTA ECONÓMICA'!#REF!</f>
        <v>#REF!</v>
      </c>
      <c r="F141" s="711" t="s">
        <v>420</v>
      </c>
      <c r="G141" s="622" t="str">
        <f t="shared" si="8"/>
        <v>und</v>
      </c>
      <c r="H141" s="623">
        <f t="shared" si="9"/>
        <v>0</v>
      </c>
      <c r="I141" s="623">
        <v>24443</v>
      </c>
      <c r="J141" s="623">
        <f t="shared" si="6"/>
        <v>0</v>
      </c>
      <c r="K141" s="764"/>
      <c r="M141" s="1119"/>
    </row>
    <row r="142" spans="2:13" hidden="1" x14ac:dyDescent="0.25">
      <c r="B142" s="763"/>
      <c r="C142" s="752" t="e">
        <f>'FORMATO PROPUESTA ECONÓMICA'!#REF!</f>
        <v>#REF!</v>
      </c>
      <c r="D142" s="753"/>
      <c r="E142" s="620" t="e">
        <f>'FORMATO PROPUESTA ECONÓMICA'!#REF!</f>
        <v>#REF!</v>
      </c>
      <c r="F142" s="711" t="s">
        <v>421</v>
      </c>
      <c r="G142" s="622" t="str">
        <f t="shared" si="8"/>
        <v>und</v>
      </c>
      <c r="H142" s="623">
        <f t="shared" si="9"/>
        <v>0</v>
      </c>
      <c r="I142" s="623">
        <v>56681</v>
      </c>
      <c r="J142" s="623">
        <f t="shared" si="6"/>
        <v>0</v>
      </c>
      <c r="K142" s="764"/>
      <c r="M142" s="1119"/>
    </row>
    <row r="143" spans="2:13" hidden="1" x14ac:dyDescent="0.25">
      <c r="B143" s="763"/>
      <c r="C143" s="752" t="e">
        <f>'FORMATO PROPUESTA ECONÓMICA'!#REF!</f>
        <v>#REF!</v>
      </c>
      <c r="D143" s="753"/>
      <c r="E143" s="620" t="e">
        <f>'FORMATO PROPUESTA ECONÓMICA'!#REF!</f>
        <v>#REF!</v>
      </c>
      <c r="F143" s="711" t="s">
        <v>422</v>
      </c>
      <c r="G143" s="622" t="str">
        <f t="shared" si="8"/>
        <v>und</v>
      </c>
      <c r="H143" s="623">
        <f t="shared" si="9"/>
        <v>0</v>
      </c>
      <c r="I143" s="623">
        <v>110957</v>
      </c>
      <c r="J143" s="623">
        <f t="shared" si="6"/>
        <v>0</v>
      </c>
      <c r="K143" s="764"/>
      <c r="M143" s="1119"/>
    </row>
    <row r="144" spans="2:13" ht="30" x14ac:dyDescent="0.25">
      <c r="B144" s="763"/>
      <c r="C144" s="801"/>
      <c r="D144" s="805"/>
      <c r="E144" s="732" t="e">
        <f>'FORMATO PROPUESTA ECONÓMICA'!#REF!</f>
        <v>#REF!</v>
      </c>
      <c r="F144" s="808" t="s">
        <v>423</v>
      </c>
      <c r="G144" s="807"/>
      <c r="H144" s="803"/>
      <c r="I144" s="803"/>
      <c r="J144" s="803"/>
      <c r="K144" s="764"/>
      <c r="L144" s="764"/>
      <c r="M144" s="1119"/>
    </row>
    <row r="145" spans="2:13" ht="30" x14ac:dyDescent="0.25">
      <c r="B145" s="763"/>
      <c r="C145" s="752" t="e">
        <f>'FORMATO PROPUESTA ECONÓMICA'!#REF!</f>
        <v>#REF!</v>
      </c>
      <c r="D145" s="753"/>
      <c r="E145" s="634" t="e">
        <f>'FORMATO PROPUESTA ECONÓMICA'!#REF!</f>
        <v>#REF!</v>
      </c>
      <c r="F145" s="711" t="s">
        <v>402</v>
      </c>
      <c r="G145" s="622" t="str">
        <f>G65</f>
        <v>ml</v>
      </c>
      <c r="H145" s="622">
        <f>H65</f>
        <v>600</v>
      </c>
      <c r="I145" s="623">
        <v>2433.6799999999998</v>
      </c>
      <c r="J145" s="623">
        <f t="shared" ref="J145:J160" si="10">IF(ISERROR(+H145*I145),"",+H145*I145)</f>
        <v>1460208</v>
      </c>
      <c r="K145" s="764"/>
      <c r="M145" s="1119"/>
    </row>
    <row r="146" spans="2:13" ht="30" hidden="1" x14ac:dyDescent="0.25">
      <c r="B146" s="763"/>
      <c r="C146" s="752" t="e">
        <f>'FORMATO PROPUESTA ECONÓMICA'!#REF!</f>
        <v>#REF!</v>
      </c>
      <c r="D146" s="753"/>
      <c r="E146" s="634" t="e">
        <f>'FORMATO PROPUESTA ECONÓMICA'!#REF!</f>
        <v>#REF!</v>
      </c>
      <c r="F146" s="711" t="s">
        <v>403</v>
      </c>
      <c r="G146" s="622" t="str">
        <f t="shared" ref="G146:H146" si="11">G66</f>
        <v>ml</v>
      </c>
      <c r="H146" s="622">
        <f t="shared" si="11"/>
        <v>0</v>
      </c>
      <c r="I146" s="623">
        <v>3778.12</v>
      </c>
      <c r="J146" s="623">
        <f t="shared" si="10"/>
        <v>0</v>
      </c>
      <c r="K146" s="764"/>
      <c r="M146" s="1119"/>
    </row>
    <row r="147" spans="2:13" hidden="1" x14ac:dyDescent="0.25">
      <c r="B147" s="763"/>
      <c r="C147" s="752" t="e">
        <f>'FORMATO PROPUESTA ECONÓMICA'!#REF!</f>
        <v>#REF!</v>
      </c>
      <c r="D147" s="753"/>
      <c r="E147" s="634" t="e">
        <f>'FORMATO PROPUESTA ECONÓMICA'!#REF!</f>
        <v>#REF!</v>
      </c>
      <c r="F147" s="711" t="s">
        <v>424</v>
      </c>
      <c r="G147" s="622" t="str">
        <f t="shared" ref="G147:H147" si="12">G67</f>
        <v>und</v>
      </c>
      <c r="H147" s="622">
        <f t="shared" si="12"/>
        <v>0</v>
      </c>
      <c r="I147" s="623">
        <v>14618</v>
      </c>
      <c r="J147" s="623">
        <f t="shared" si="10"/>
        <v>0</v>
      </c>
      <c r="K147" s="764"/>
      <c r="M147" s="1119"/>
    </row>
    <row r="148" spans="2:13" hidden="1" x14ac:dyDescent="0.25">
      <c r="B148" s="763"/>
      <c r="C148" s="752" t="e">
        <f>'FORMATO PROPUESTA ECONÓMICA'!#REF!</f>
        <v>#REF!</v>
      </c>
      <c r="D148" s="753"/>
      <c r="E148" s="634" t="e">
        <f>'FORMATO PROPUESTA ECONÓMICA'!#REF!</f>
        <v>#REF!</v>
      </c>
      <c r="F148" s="711" t="s">
        <v>426</v>
      </c>
      <c r="G148" s="622" t="str">
        <f t="shared" ref="G148:H148" si="13">G68</f>
        <v>und</v>
      </c>
      <c r="H148" s="622">
        <f t="shared" si="13"/>
        <v>0</v>
      </c>
      <c r="I148" s="623">
        <v>14618</v>
      </c>
      <c r="J148" s="623">
        <f t="shared" si="10"/>
        <v>0</v>
      </c>
      <c r="K148" s="764"/>
      <c r="M148" s="1119"/>
    </row>
    <row r="149" spans="2:13" x14ac:dyDescent="0.25">
      <c r="B149" s="763"/>
      <c r="C149" s="752" t="e">
        <f>'FORMATO PROPUESTA ECONÓMICA'!#REF!</f>
        <v>#REF!</v>
      </c>
      <c r="D149" s="753"/>
      <c r="E149" s="634" t="e">
        <f>'FORMATO PROPUESTA ECONÓMICA'!#REF!</f>
        <v>#REF!</v>
      </c>
      <c r="F149" s="711" t="s">
        <v>425</v>
      </c>
      <c r="G149" s="622" t="str">
        <f t="shared" ref="G149:H149" si="14">G69</f>
        <v>und</v>
      </c>
      <c r="H149" s="622">
        <f t="shared" si="14"/>
        <v>100</v>
      </c>
      <c r="I149" s="623">
        <v>14618</v>
      </c>
      <c r="J149" s="623">
        <f t="shared" si="10"/>
        <v>1461800</v>
      </c>
      <c r="K149" s="764"/>
      <c r="M149" s="1119"/>
    </row>
    <row r="150" spans="2:13" hidden="1" x14ac:dyDescent="0.25">
      <c r="B150" s="763"/>
      <c r="C150" s="752" t="e">
        <f>'FORMATO PROPUESTA ECONÓMICA'!#REF!</f>
        <v>#REF!</v>
      </c>
      <c r="D150" s="753"/>
      <c r="E150" s="634" t="e">
        <f>'FORMATO PROPUESTA ECONÓMICA'!#REF!</f>
        <v>#REF!</v>
      </c>
      <c r="F150" s="711" t="s">
        <v>427</v>
      </c>
      <c r="G150" s="622" t="str">
        <f t="shared" ref="G150:H150" si="15">G70</f>
        <v>und</v>
      </c>
      <c r="H150" s="622">
        <f t="shared" si="15"/>
        <v>0</v>
      </c>
      <c r="I150" s="623">
        <v>14618</v>
      </c>
      <c r="J150" s="623">
        <f t="shared" si="10"/>
        <v>0</v>
      </c>
      <c r="K150" s="764"/>
      <c r="M150" s="1119"/>
    </row>
    <row r="151" spans="2:13" hidden="1" x14ac:dyDescent="0.25">
      <c r="B151" s="763"/>
      <c r="C151" s="752" t="e">
        <f>'FORMATO PROPUESTA ECONÓMICA'!#REF!</f>
        <v>#REF!</v>
      </c>
      <c r="D151" s="753"/>
      <c r="E151" s="634" t="e">
        <f>'FORMATO PROPUESTA ECONÓMICA'!#REF!</f>
        <v>#REF!</v>
      </c>
      <c r="F151" s="711" t="s">
        <v>428</v>
      </c>
      <c r="G151" s="622" t="str">
        <f t="shared" ref="G151:H151" si="16">G71</f>
        <v>und</v>
      </c>
      <c r="H151" s="622">
        <f t="shared" si="16"/>
        <v>0</v>
      </c>
      <c r="I151" s="623">
        <v>14618</v>
      </c>
      <c r="J151" s="623">
        <f t="shared" si="10"/>
        <v>0</v>
      </c>
      <c r="K151" s="764"/>
      <c r="M151" s="1119"/>
    </row>
    <row r="152" spans="2:13" x14ac:dyDescent="0.25">
      <c r="B152" s="763"/>
      <c r="C152" s="752" t="e">
        <f>'FORMATO PROPUESTA ECONÓMICA'!#REF!</f>
        <v>#REF!</v>
      </c>
      <c r="D152" s="753"/>
      <c r="E152" s="634" t="e">
        <f>'FORMATO PROPUESTA ECONÓMICA'!#REF!</f>
        <v>#REF!</v>
      </c>
      <c r="F152" s="711" t="s">
        <v>479</v>
      </c>
      <c r="G152" s="622" t="str">
        <f t="shared" ref="G152:G154" si="17">G72</f>
        <v>und</v>
      </c>
      <c r="H152" s="622">
        <f>H72/2</f>
        <v>50</v>
      </c>
      <c r="I152" s="623">
        <v>3996</v>
      </c>
      <c r="J152" s="623">
        <f t="shared" si="10"/>
        <v>199800</v>
      </c>
      <c r="K152" s="764"/>
      <c r="M152" s="1119"/>
    </row>
    <row r="153" spans="2:13" hidden="1" x14ac:dyDescent="0.25">
      <c r="B153" s="763"/>
      <c r="C153" s="752" t="e">
        <f>'FORMATO PROPUESTA ECONÓMICA'!#REF!</f>
        <v>#REF!</v>
      </c>
      <c r="D153" s="753"/>
      <c r="E153" s="634" t="e">
        <f>'FORMATO PROPUESTA ECONÓMICA'!#REF!</f>
        <v>#REF!</v>
      </c>
      <c r="F153" s="711" t="s">
        <v>343</v>
      </c>
      <c r="G153" s="622" t="str">
        <f t="shared" ref="G153:H153" si="18">G73</f>
        <v>und</v>
      </c>
      <c r="H153" s="622">
        <f t="shared" si="18"/>
        <v>0</v>
      </c>
      <c r="I153" s="623">
        <v>5316</v>
      </c>
      <c r="J153" s="623">
        <f t="shared" si="10"/>
        <v>0</v>
      </c>
      <c r="K153" s="764"/>
      <c r="M153" s="1119"/>
    </row>
    <row r="154" spans="2:13" x14ac:dyDescent="0.25">
      <c r="B154" s="763"/>
      <c r="C154" s="752"/>
      <c r="D154" s="753"/>
      <c r="E154" s="634" t="e">
        <f>'FORMATO PROPUESTA ECONÓMICA'!#REF!</f>
        <v>#REF!</v>
      </c>
      <c r="F154" s="711" t="s">
        <v>478</v>
      </c>
      <c r="G154" s="622" t="str">
        <f t="shared" si="17"/>
        <v>und</v>
      </c>
      <c r="H154" s="622">
        <f>H72/2</f>
        <v>50</v>
      </c>
      <c r="I154" s="623">
        <v>3996</v>
      </c>
      <c r="J154" s="623">
        <f t="shared" ref="J154" si="19">IF(ISERROR(+H154*I154),"",+H154*I154)</f>
        <v>199800</v>
      </c>
      <c r="K154" s="764"/>
      <c r="M154" s="1119"/>
    </row>
    <row r="155" spans="2:13" x14ac:dyDescent="0.25">
      <c r="B155" s="763"/>
      <c r="C155" s="752" t="e">
        <f>'FORMATO PROPUESTA ECONÓMICA'!#REF!</f>
        <v>#REF!</v>
      </c>
      <c r="D155" s="753"/>
      <c r="E155" s="620" t="e">
        <f>'FORMATO PROPUESTA ECONÓMICA'!#REF!</f>
        <v>#REF!</v>
      </c>
      <c r="F155" s="711" t="s">
        <v>344</v>
      </c>
      <c r="G155" s="622" t="str">
        <f t="shared" ref="G155" si="20">G74</f>
        <v>und</v>
      </c>
      <c r="H155" s="622">
        <f>H74</f>
        <v>20</v>
      </c>
      <c r="I155" s="623">
        <v>3996</v>
      </c>
      <c r="J155" s="623">
        <f t="shared" si="10"/>
        <v>79920</v>
      </c>
      <c r="K155" s="764"/>
      <c r="M155" s="1119"/>
    </row>
    <row r="156" spans="2:13" x14ac:dyDescent="0.25">
      <c r="B156" s="763"/>
      <c r="C156" s="752" t="e">
        <f>'FORMATO PROPUESTA ECONÓMICA'!#REF!</f>
        <v>#REF!</v>
      </c>
      <c r="D156" s="753"/>
      <c r="E156" s="620" t="e">
        <f>'FORMATO PROPUESTA ECONÓMICA'!#REF!</f>
        <v>#REF!</v>
      </c>
      <c r="F156" s="711" t="s">
        <v>345</v>
      </c>
      <c r="G156" s="622" t="str">
        <f t="shared" ref="G156:H156" si="21">G75</f>
        <v>und</v>
      </c>
      <c r="H156" s="622">
        <f t="shared" si="21"/>
        <v>60</v>
      </c>
      <c r="I156" s="623">
        <v>15225</v>
      </c>
      <c r="J156" s="623">
        <f t="shared" si="10"/>
        <v>913500</v>
      </c>
      <c r="K156" s="764"/>
      <c r="M156" s="1119"/>
    </row>
    <row r="157" spans="2:13" ht="90" hidden="1" x14ac:dyDescent="0.25">
      <c r="B157" s="763"/>
      <c r="C157" s="752" t="e">
        <f>'FORMATO PROPUESTA ECONÓMICA'!#REF!</f>
        <v>#REF!</v>
      </c>
      <c r="D157" s="753"/>
      <c r="E157" s="620" t="e">
        <f>'FORMATO PROPUESTA ECONÓMICA'!#REF!</f>
        <v>#REF!</v>
      </c>
      <c r="F157" s="711" t="s">
        <v>353</v>
      </c>
      <c r="G157" s="622" t="str">
        <f>G76</f>
        <v>und</v>
      </c>
      <c r="H157" s="622">
        <f>H76</f>
        <v>60</v>
      </c>
      <c r="I157" s="623"/>
      <c r="J157" s="623">
        <f t="shared" si="10"/>
        <v>0</v>
      </c>
      <c r="K157" s="764"/>
      <c r="M157" s="1119"/>
    </row>
    <row r="158" spans="2:13" x14ac:dyDescent="0.25">
      <c r="B158" s="763"/>
      <c r="C158" s="752" t="e">
        <f>'FORMATO PROPUESTA ECONÓMICA'!#REF!</f>
        <v>#REF!</v>
      </c>
      <c r="D158" s="753"/>
      <c r="E158" s="620" t="e">
        <f>'FORMATO PROPUESTA ECONÓMICA'!#REF!</f>
        <v>#REF!</v>
      </c>
      <c r="F158" s="711" t="s">
        <v>346</v>
      </c>
      <c r="G158" s="622" t="str">
        <f t="shared" ref="G158:H158" si="22">G77</f>
        <v>und</v>
      </c>
      <c r="H158" s="622">
        <f t="shared" si="22"/>
        <v>60</v>
      </c>
      <c r="I158" s="623">
        <v>7350</v>
      </c>
      <c r="J158" s="623">
        <f t="shared" si="10"/>
        <v>441000</v>
      </c>
      <c r="K158" s="764"/>
      <c r="M158" s="1119"/>
    </row>
    <row r="159" spans="2:13" x14ac:dyDescent="0.25">
      <c r="B159" s="763"/>
      <c r="C159" s="752" t="e">
        <f>'FORMATO PROPUESTA ECONÓMICA'!#REF!</f>
        <v>#REF!</v>
      </c>
      <c r="D159" s="753"/>
      <c r="E159" s="620" t="e">
        <f>'FORMATO PROPUESTA ECONÓMICA'!#REF!</f>
        <v>#REF!</v>
      </c>
      <c r="F159" s="711" t="s">
        <v>347</v>
      </c>
      <c r="G159" s="622" t="str">
        <f t="shared" ref="G159:H159" si="23">G78</f>
        <v>und</v>
      </c>
      <c r="H159" s="622">
        <f t="shared" si="23"/>
        <v>100</v>
      </c>
      <c r="I159" s="623">
        <v>394</v>
      </c>
      <c r="J159" s="623">
        <f t="shared" si="10"/>
        <v>39400</v>
      </c>
      <c r="K159" s="764"/>
      <c r="M159" s="1119"/>
    </row>
    <row r="160" spans="2:13" x14ac:dyDescent="0.25">
      <c r="B160" s="763"/>
      <c r="C160" s="752" t="e">
        <f>'FORMATO PROPUESTA ECONÓMICA'!#REF!</f>
        <v>#REF!</v>
      </c>
      <c r="D160" s="753"/>
      <c r="E160" s="620" t="e">
        <f>'FORMATO PROPUESTA ECONÓMICA'!#REF!</f>
        <v>#REF!</v>
      </c>
      <c r="F160" s="711" t="s">
        <v>348</v>
      </c>
      <c r="G160" s="622" t="str">
        <f t="shared" ref="G160:H160" si="24">G79</f>
        <v>und</v>
      </c>
      <c r="H160" s="622">
        <f t="shared" si="24"/>
        <v>100</v>
      </c>
      <c r="I160" s="623">
        <v>616</v>
      </c>
      <c r="J160" s="623">
        <f t="shared" si="10"/>
        <v>61600</v>
      </c>
      <c r="K160" s="764"/>
      <c r="M160" s="1119"/>
    </row>
    <row r="161" spans="3:15" x14ac:dyDescent="0.25">
      <c r="D161" s="815"/>
      <c r="E161" s="816"/>
      <c r="F161" s="816"/>
      <c r="G161" s="817"/>
      <c r="H161" s="817"/>
      <c r="I161" s="816"/>
      <c r="J161" s="816"/>
    </row>
    <row r="162" spans="3:15" ht="15.75" thickBot="1" x14ac:dyDescent="0.3">
      <c r="D162" s="815"/>
      <c r="I162" s="799" t="str">
        <f>+F9</f>
        <v>OBRA CIVIL</v>
      </c>
      <c r="J162" s="799" t="str">
        <f>+F115</f>
        <v>SUMINISTRO</v>
      </c>
    </row>
    <row r="163" spans="3:15" x14ac:dyDescent="0.25">
      <c r="C163" s="818"/>
      <c r="D163" s="819"/>
      <c r="E163" s="819"/>
      <c r="F163" s="819" t="s">
        <v>19</v>
      </c>
      <c r="G163" s="819"/>
      <c r="H163" s="819"/>
      <c r="I163" s="820">
        <f>+SUM(J11:J114)</f>
        <v>0</v>
      </c>
      <c r="J163" s="820"/>
    </row>
    <row r="164" spans="3:15" x14ac:dyDescent="0.25">
      <c r="C164" s="821"/>
      <c r="D164" s="822"/>
      <c r="E164" s="822"/>
      <c r="F164" s="822" t="s">
        <v>20</v>
      </c>
      <c r="G164" s="822"/>
      <c r="H164" s="822"/>
      <c r="I164" s="823"/>
      <c r="J164" s="823">
        <f>+SUM(J117:J160)*1.16</f>
        <v>17391552.879999999</v>
      </c>
    </row>
    <row r="165" spans="3:15" x14ac:dyDescent="0.25">
      <c r="C165" s="821"/>
      <c r="D165" s="822"/>
      <c r="E165" s="822"/>
      <c r="F165" s="822" t="s">
        <v>21</v>
      </c>
      <c r="G165" s="822"/>
      <c r="H165" s="822"/>
      <c r="I165" s="824">
        <f>+I163</f>
        <v>0</v>
      </c>
      <c r="J165" s="824">
        <f>+J164</f>
        <v>17391552.879999999</v>
      </c>
    </row>
    <row r="166" spans="3:15" x14ac:dyDescent="0.25">
      <c r="C166" s="825"/>
      <c r="D166" s="826"/>
      <c r="E166" s="826"/>
      <c r="F166" s="827" t="s">
        <v>22</v>
      </c>
      <c r="G166" s="826"/>
      <c r="H166" s="826"/>
      <c r="I166" s="1425">
        <f>+J165+I165</f>
        <v>17391552.879999999</v>
      </c>
      <c r="J166" s="1425"/>
    </row>
    <row r="167" spans="3:15" x14ac:dyDescent="0.25">
      <c r="C167" s="828"/>
      <c r="D167" s="829"/>
      <c r="E167" s="829"/>
      <c r="F167" s="822" t="s">
        <v>337</v>
      </c>
      <c r="G167" s="829"/>
      <c r="H167" s="829" t="e">
        <f>ROUND(AU!G70,2)</f>
        <v>#DIV/0!</v>
      </c>
      <c r="I167" s="823" t="e">
        <f>+I165*$H167</f>
        <v>#DIV/0!</v>
      </c>
      <c r="J167" s="823"/>
    </row>
    <row r="168" spans="3:15" x14ac:dyDescent="0.25">
      <c r="C168" s="828"/>
      <c r="D168" s="829"/>
      <c r="E168" s="829"/>
      <c r="F168" s="822" t="s">
        <v>338</v>
      </c>
      <c r="G168" s="829"/>
      <c r="H168" s="829">
        <v>0.08</v>
      </c>
      <c r="I168" s="823"/>
      <c r="J168" s="823">
        <f>+J165*$H168</f>
        <v>1391324.2304</v>
      </c>
    </row>
    <row r="169" spans="3:15" x14ac:dyDescent="0.25">
      <c r="C169" s="825"/>
      <c r="D169" s="826"/>
      <c r="E169" s="826"/>
      <c r="F169" s="827" t="s">
        <v>23</v>
      </c>
      <c r="G169" s="826"/>
      <c r="H169" s="826"/>
      <c r="I169" s="1425" t="e">
        <f>+I167+J168</f>
        <v>#DIV/0!</v>
      </c>
      <c r="J169" s="1425"/>
      <c r="O169" s="764"/>
    </row>
    <row r="170" spans="3:15" x14ac:dyDescent="0.25">
      <c r="C170" s="828"/>
      <c r="D170" s="829"/>
      <c r="E170" s="829"/>
      <c r="F170" s="822" t="s">
        <v>24</v>
      </c>
      <c r="G170" s="829"/>
      <c r="H170" s="829"/>
      <c r="I170" s="824" t="e">
        <f>+I167+I165</f>
        <v>#DIV/0!</v>
      </c>
      <c r="J170" s="824">
        <f>+J168+J165</f>
        <v>18782877.110399999</v>
      </c>
    </row>
    <row r="171" spans="3:15" x14ac:dyDescent="0.25">
      <c r="C171" s="825"/>
      <c r="D171" s="826"/>
      <c r="E171" s="826"/>
      <c r="F171" s="827" t="s">
        <v>25</v>
      </c>
      <c r="G171" s="826"/>
      <c r="H171" s="826"/>
      <c r="I171" s="1425" t="e">
        <f>+I170+J170</f>
        <v>#DIV/0!</v>
      </c>
      <c r="J171" s="1425"/>
    </row>
    <row r="172" spans="3:15" x14ac:dyDescent="0.25">
      <c r="C172" s="828"/>
      <c r="D172" s="829"/>
      <c r="E172" s="829"/>
      <c r="F172" s="822" t="s">
        <v>40</v>
      </c>
      <c r="G172" s="829"/>
      <c r="H172" s="829">
        <v>0.08</v>
      </c>
      <c r="I172" s="823" t="e">
        <f>+I170*$H172</f>
        <v>#DIV/0!</v>
      </c>
      <c r="J172" s="823"/>
    </row>
    <row r="173" spans="3:15" x14ac:dyDescent="0.25">
      <c r="C173" s="828"/>
      <c r="D173" s="829"/>
      <c r="E173" s="829"/>
      <c r="F173" s="822" t="s">
        <v>41</v>
      </c>
      <c r="G173" s="829"/>
      <c r="H173" s="829">
        <v>0.02</v>
      </c>
      <c r="I173" s="823"/>
      <c r="J173" s="823">
        <f>+J170*$H173</f>
        <v>375657.54220799997</v>
      </c>
    </row>
    <row r="174" spans="3:15" x14ac:dyDescent="0.25">
      <c r="C174" s="825"/>
      <c r="D174" s="826"/>
      <c r="E174" s="826"/>
      <c r="F174" s="827" t="s">
        <v>26</v>
      </c>
      <c r="G174" s="826"/>
      <c r="H174" s="826"/>
      <c r="I174" s="1425" t="e">
        <f>+J173+I172</f>
        <v>#DIV/0!</v>
      </c>
      <c r="J174" s="1425"/>
    </row>
    <row r="175" spans="3:15" x14ac:dyDescent="0.25">
      <c r="C175" s="828"/>
      <c r="D175" s="829"/>
      <c r="E175" s="829"/>
      <c r="F175" s="830"/>
      <c r="G175" s="829"/>
      <c r="H175" s="829"/>
      <c r="I175" s="824" t="e">
        <f>+I172+I170</f>
        <v>#DIV/0!</v>
      </c>
      <c r="J175" s="824">
        <f>+J173+J170</f>
        <v>19158534.652608</v>
      </c>
    </row>
    <row r="176" spans="3:15" x14ac:dyDescent="0.25">
      <c r="C176" s="825"/>
      <c r="D176" s="826"/>
      <c r="E176" s="826"/>
      <c r="F176" s="831" t="s">
        <v>27</v>
      </c>
      <c r="G176" s="826"/>
      <c r="H176" s="826"/>
      <c r="I176" s="1425" t="e">
        <f>+I175+J175</f>
        <v>#DIV/0!</v>
      </c>
      <c r="J176" s="1425"/>
    </row>
    <row r="177" spans="3:10" x14ac:dyDescent="0.25">
      <c r="C177" s="828"/>
      <c r="D177" s="829"/>
      <c r="E177" s="829"/>
      <c r="F177" s="822" t="s">
        <v>28</v>
      </c>
      <c r="G177" s="829"/>
      <c r="H177" s="829">
        <v>0.02</v>
      </c>
      <c r="I177" s="823" t="e">
        <f>+I175*$H177/(1-$H177)</f>
        <v>#DIV/0!</v>
      </c>
      <c r="J177" s="823"/>
    </row>
    <row r="178" spans="3:10" x14ac:dyDescent="0.25">
      <c r="C178" s="828"/>
      <c r="D178" s="829"/>
      <c r="E178" s="829"/>
      <c r="F178" s="822"/>
      <c r="G178" s="829"/>
      <c r="H178" s="829">
        <v>0.02</v>
      </c>
      <c r="I178" s="823"/>
      <c r="J178" s="823">
        <f>+J175*$H178/(1-$H178)</f>
        <v>390990.50311444903</v>
      </c>
    </row>
    <row r="179" spans="3:10" x14ac:dyDescent="0.25">
      <c r="C179" s="825"/>
      <c r="D179" s="826"/>
      <c r="E179" s="826"/>
      <c r="F179" s="827" t="s">
        <v>29</v>
      </c>
      <c r="G179" s="826"/>
      <c r="H179" s="826"/>
      <c r="I179" s="1425" t="e">
        <f>+I177+J178</f>
        <v>#DIV/0!</v>
      </c>
      <c r="J179" s="1425"/>
    </row>
    <row r="180" spans="3:10" x14ac:dyDescent="0.25">
      <c r="C180" s="828"/>
      <c r="D180" s="829"/>
      <c r="E180" s="829"/>
      <c r="F180" s="822" t="s">
        <v>30</v>
      </c>
      <c r="G180" s="829"/>
      <c r="H180" s="829"/>
      <c r="I180" s="824" t="e">
        <f>+I177+I175</f>
        <v>#DIV/0!</v>
      </c>
      <c r="J180" s="824">
        <f>+J178+J175</f>
        <v>19549525.15572245</v>
      </c>
    </row>
    <row r="181" spans="3:10" ht="15.75" thickBot="1" x14ac:dyDescent="0.3">
      <c r="C181" s="832"/>
      <c r="D181" s="833"/>
      <c r="E181" s="833"/>
      <c r="F181" s="834" t="s">
        <v>31</v>
      </c>
      <c r="G181" s="833"/>
      <c r="H181" s="833"/>
      <c r="I181" s="1424" t="e">
        <f>+I180+J180</f>
        <v>#DIV/0!</v>
      </c>
      <c r="J181" s="1424"/>
    </row>
    <row r="185" spans="3:10" x14ac:dyDescent="0.25">
      <c r="C185" s="765"/>
    </row>
    <row r="187" spans="3:10" x14ac:dyDescent="0.25">
      <c r="J187" s="835"/>
    </row>
    <row r="188" spans="3:10" x14ac:dyDescent="0.25">
      <c r="C188" s="765"/>
      <c r="J188" s="836"/>
    </row>
    <row r="189" spans="3:10" x14ac:dyDescent="0.25">
      <c r="C189" s="765"/>
      <c r="J189" s="835"/>
    </row>
    <row r="190" spans="3:10" x14ac:dyDescent="0.25">
      <c r="C190" s="765"/>
      <c r="J190" s="835"/>
    </row>
  </sheetData>
  <mergeCells count="8">
    <mergeCell ref="I181:J181"/>
    <mergeCell ref="I174:J174"/>
    <mergeCell ref="I176:J176"/>
    <mergeCell ref="I179:J179"/>
    <mergeCell ref="C2:J3"/>
    <mergeCell ref="I166:J166"/>
    <mergeCell ref="I169:J169"/>
    <mergeCell ref="I171:J17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81"/>
  <sheetViews>
    <sheetView topLeftCell="F72" workbookViewId="0">
      <selection activeCell="F20" sqref="F20"/>
    </sheetView>
  </sheetViews>
  <sheetFormatPr baseColWidth="10" defaultColWidth="9.140625" defaultRowHeight="15" x14ac:dyDescent="0.25"/>
  <cols>
    <col min="1" max="1" width="3.7109375" style="745" customWidth="1"/>
    <col min="2" max="2" width="11.28515625" style="745" hidden="1" customWidth="1"/>
    <col min="3" max="3" width="14.28515625" style="750" customWidth="1"/>
    <col min="4" max="4" width="9.28515625" style="777" customWidth="1"/>
    <col min="5" max="5" width="9.5703125" style="777" customWidth="1"/>
    <col min="6" max="6" width="51.28515625" style="777" customWidth="1"/>
    <col min="7" max="7" width="11" style="777" customWidth="1"/>
    <col min="8" max="11" width="14.5703125" style="777" hidden="1" customWidth="1"/>
    <col min="12" max="13" width="15.140625" style="777" hidden="1" customWidth="1"/>
    <col min="14" max="14" width="12.42578125" style="777" customWidth="1"/>
    <col min="15" max="15" width="17.7109375" style="777" customWidth="1"/>
    <col min="16" max="16" width="21" style="777" bestFit="1" customWidth="1"/>
    <col min="17" max="18" width="11.42578125" style="745" customWidth="1"/>
    <col min="19" max="19" width="25.5703125" style="745" customWidth="1"/>
    <col min="20" max="20" width="24.7109375" style="745" customWidth="1"/>
    <col min="21" max="16384" width="9.140625" style="745"/>
  </cols>
  <sheetData>
    <row r="2" spans="2:19" x14ac:dyDescent="0.25">
      <c r="C2" s="1428" t="s">
        <v>372</v>
      </c>
      <c r="D2" s="1428"/>
      <c r="E2" s="1428"/>
      <c r="F2" s="1428"/>
      <c r="G2" s="1428"/>
      <c r="H2" s="1428"/>
      <c r="I2" s="1428"/>
      <c r="J2" s="1428"/>
      <c r="K2" s="1428"/>
      <c r="L2" s="1428"/>
      <c r="M2" s="1428"/>
      <c r="N2" s="1428"/>
      <c r="O2" s="1428"/>
      <c r="P2" s="1428"/>
    </row>
    <row r="3" spans="2:19" x14ac:dyDescent="0.25">
      <c r="C3" s="1428"/>
      <c r="D3" s="1428"/>
      <c r="E3" s="1428"/>
      <c r="F3" s="1428"/>
      <c r="G3" s="1428"/>
      <c r="H3" s="1428"/>
      <c r="I3" s="1428"/>
      <c r="J3" s="1428"/>
      <c r="K3" s="1428"/>
      <c r="L3" s="1428"/>
      <c r="M3" s="1428"/>
      <c r="N3" s="1428"/>
      <c r="O3" s="1428"/>
      <c r="P3" s="1428"/>
    </row>
    <row r="4" spans="2:19" x14ac:dyDescent="0.25">
      <c r="C4" s="746"/>
      <c r="D4" s="746"/>
      <c r="E4" s="746"/>
      <c r="F4" s="746" t="s">
        <v>469</v>
      </c>
      <c r="G4" s="746"/>
      <c r="H4" s="746"/>
      <c r="I4" s="746"/>
      <c r="J4" s="746"/>
      <c r="K4" s="746"/>
      <c r="L4" s="746"/>
      <c r="M4" s="746"/>
      <c r="N4" s="746"/>
      <c r="O4" s="746"/>
      <c r="P4" s="746"/>
    </row>
    <row r="6" spans="2:19" ht="15" customHeight="1" x14ac:dyDescent="0.25"/>
    <row r="7" spans="2:19" ht="36" customHeight="1" x14ac:dyDescent="0.25">
      <c r="C7" s="747" t="s">
        <v>53</v>
      </c>
      <c r="D7" s="747" t="s">
        <v>0</v>
      </c>
      <c r="E7" s="747" t="s">
        <v>43</v>
      </c>
      <c r="F7" s="747" t="s">
        <v>1</v>
      </c>
      <c r="G7" s="748" t="s">
        <v>2</v>
      </c>
      <c r="H7" s="748"/>
      <c r="I7" s="748"/>
      <c r="J7" s="748"/>
      <c r="K7" s="748"/>
      <c r="L7" s="748"/>
      <c r="M7" s="748"/>
      <c r="N7" s="748" t="s">
        <v>3</v>
      </c>
      <c r="O7" s="748" t="s">
        <v>4</v>
      </c>
      <c r="P7" s="748" t="s">
        <v>5</v>
      </c>
    </row>
    <row r="8" spans="2:19" x14ac:dyDescent="0.25">
      <c r="C8" s="846"/>
      <c r="D8" s="846"/>
      <c r="E8" s="846"/>
      <c r="F8" s="846"/>
      <c r="G8" s="846"/>
      <c r="H8" s="846"/>
      <c r="I8" s="846"/>
      <c r="J8" s="846"/>
      <c r="K8" s="846"/>
      <c r="L8" s="846"/>
      <c r="M8" s="846"/>
      <c r="N8" s="846"/>
      <c r="O8" s="846"/>
      <c r="P8" s="846"/>
    </row>
    <row r="9" spans="2:19" x14ac:dyDescent="0.25">
      <c r="C9" s="846"/>
      <c r="D9" s="846"/>
      <c r="E9" s="747"/>
      <c r="F9" s="749" t="s">
        <v>19</v>
      </c>
      <c r="G9" s="747"/>
      <c r="H9" s="747"/>
      <c r="I9" s="747"/>
      <c r="J9" s="747"/>
      <c r="K9" s="747"/>
      <c r="L9" s="747"/>
      <c r="M9" s="747"/>
      <c r="N9" s="747"/>
      <c r="O9" s="747"/>
      <c r="P9" s="747"/>
    </row>
    <row r="10" spans="2:19" x14ac:dyDescent="0.25">
      <c r="B10" s="750" t="str">
        <f>+'[3]1. Colector Principal'!C13</f>
        <v>Excavación manual en material común:</v>
      </c>
      <c r="C10" s="751"/>
      <c r="D10" s="751"/>
      <c r="E10" s="42">
        <v>1</v>
      </c>
      <c r="F10" s="45" t="s">
        <v>54</v>
      </c>
      <c r="G10" s="45"/>
      <c r="H10" s="44"/>
      <c r="I10" s="44"/>
      <c r="J10" s="44"/>
      <c r="K10" s="44"/>
      <c r="L10" s="44"/>
      <c r="M10" s="44"/>
      <c r="N10" s="39"/>
      <c r="O10" s="40" t="str">
        <f>IF(D10="","",VLOOKUP(D10,#REF!,7,0))</f>
        <v/>
      </c>
      <c r="P10" s="39" t="str">
        <f>IF(ISERROR(+N10*O10),"",+N10*O10)</f>
        <v/>
      </c>
    </row>
    <row r="11" spans="2:19" ht="51" customHeight="1" x14ac:dyDescent="0.25">
      <c r="B11" s="750" t="str">
        <f>+'[3]1. Colector Principal'!C14</f>
        <v>Seco, entre 0 m y 2 m de profundidad</v>
      </c>
      <c r="C11" s="752" t="e">
        <f>'FORMATO PROPUESTA ECONÓMICA'!#REF!</f>
        <v>#REF!</v>
      </c>
      <c r="D11" s="753"/>
      <c r="E11" s="634">
        <f>'FORMATO PROPUESTA ECONÓMICA'!A8</f>
        <v>1.1000000000000001</v>
      </c>
      <c r="F11" s="621" t="s">
        <v>55</v>
      </c>
      <c r="G11" s="622" t="s">
        <v>16</v>
      </c>
      <c r="H11" s="623">
        <f>IF(ISERROR(VLOOKUP($D11,[4]Ppto!$A$3:$F$100,4,)),0,VLOOKUP($D11,[4]Ppto!$A$3:$F$100,4,))</f>
        <v>0</v>
      </c>
      <c r="I11" s="624">
        <f>IF(ISERROR(VLOOKUP($D11,[4]Ppto!$A$3:$F$100,5,)),0,VLOOKUP($D11,[4]Ppto!$A$3:$F$100,5,))</f>
        <v>0</v>
      </c>
      <c r="J11" s="625">
        <v>1.0514434190967898</v>
      </c>
      <c r="K11" s="624">
        <f>+I11-O11</f>
        <v>0</v>
      </c>
      <c r="L11" s="624">
        <f t="shared" ref="L11:L110" si="0">+H11*I11</f>
        <v>0</v>
      </c>
      <c r="M11" s="624">
        <f>+L11-P11</f>
        <v>0</v>
      </c>
      <c r="N11" s="1112">
        <f>N36*0.6+N65*0.4</f>
        <v>901.26</v>
      </c>
      <c r="O11" s="623">
        <f>'FORMATO PROPUESTA ECONÓMICA'!E8</f>
        <v>0</v>
      </c>
      <c r="P11" s="623">
        <f>IF(ISERROR(+N11*O11),"",+N11*O11)</f>
        <v>0</v>
      </c>
      <c r="Q11" s="755"/>
      <c r="R11" s="755"/>
      <c r="S11" s="1113"/>
    </row>
    <row r="12" spans="2:19" x14ac:dyDescent="0.25">
      <c r="B12" s="750" t="str">
        <f>+'[3]1. Colector Principal'!C15</f>
        <v>Seco, entre 2 m y 4 m de profundidad</v>
      </c>
      <c r="C12" s="752" t="e">
        <f>'FORMATO PROPUESTA ECONÓMICA'!#REF!</f>
        <v>#REF!</v>
      </c>
      <c r="D12" s="756"/>
      <c r="E12" s="634">
        <f>'FORMATO PROPUESTA ECONÓMICA'!A9</f>
        <v>1.2</v>
      </c>
      <c r="F12" s="627" t="s">
        <v>56</v>
      </c>
      <c r="G12" s="628" t="s">
        <v>16</v>
      </c>
      <c r="H12" s="629">
        <f>IF(ISERROR(VLOOKUP($D12,[4]Ppto!$A$3:$F$100,4,)),0,VLOOKUP($D12,[4]Ppto!$A$3:$F$100,4,))</f>
        <v>0</v>
      </c>
      <c r="I12" s="630">
        <f>IF(ISERROR(VLOOKUP($D12,[4]Ppto!$A$3:$F$100,5,)),0,VLOOKUP($D12,[4]Ppto!$A$3:$F$100,5,))</f>
        <v>0</v>
      </c>
      <c r="J12" s="631">
        <v>1.0514451093532919</v>
      </c>
      <c r="K12" s="630">
        <f>+I12-O12</f>
        <v>0</v>
      </c>
      <c r="L12" s="630">
        <f t="shared" si="0"/>
        <v>0</v>
      </c>
      <c r="M12" s="630">
        <f>+L12-P12</f>
        <v>0</v>
      </c>
      <c r="N12" s="847">
        <f>N65*0.2</f>
        <v>168</v>
      </c>
      <c r="O12" s="623">
        <f>'FORMATO PROPUESTA ECONÓMICA'!E9</f>
        <v>0</v>
      </c>
      <c r="P12" s="629">
        <f>IF(ISERROR(+N12*O12),"",+N12*O12)</f>
        <v>0</v>
      </c>
      <c r="Q12" s="755"/>
      <c r="R12" s="755"/>
      <c r="S12" s="755"/>
    </row>
    <row r="13" spans="2:19" x14ac:dyDescent="0.25">
      <c r="B13" s="750" t="str">
        <f>+'[3]1. Colector Principal'!C16</f>
        <v>Seco, mayor a 4 m de profundidad</v>
      </c>
      <c r="C13" s="752" t="e">
        <f>'FORMATO PROPUESTA ECONÓMICA'!#REF!</f>
        <v>#REF!</v>
      </c>
      <c r="D13" s="756"/>
      <c r="E13" s="634">
        <f>'FORMATO PROPUESTA ECONÓMICA'!A10</f>
        <v>1.3</v>
      </c>
      <c r="F13" s="627" t="s">
        <v>57</v>
      </c>
      <c r="G13" s="628" t="s">
        <v>59</v>
      </c>
      <c r="H13" s="629">
        <f>IF(ISERROR(VLOOKUP($D13,[4]Ppto!$A$3:$F$100,4,)),0,VLOOKUP($D13,[4]Ppto!$A$3:$F$100,4,))</f>
        <v>0</v>
      </c>
      <c r="I13" s="630">
        <f>IF(ISERROR(VLOOKUP($D13,[4]Ppto!$A$3:$F$100,5,)),0,VLOOKUP($D13,[4]Ppto!$A$3:$F$100,5,))</f>
        <v>0</v>
      </c>
      <c r="J13" s="631">
        <v>1.0513360332131385</v>
      </c>
      <c r="K13" s="630">
        <f>+I13-O13</f>
        <v>0</v>
      </c>
      <c r="L13" s="630">
        <f t="shared" si="0"/>
        <v>0</v>
      </c>
      <c r="M13" s="630">
        <f>+L13-P13</f>
        <v>0</v>
      </c>
      <c r="N13" s="847">
        <v>102</v>
      </c>
      <c r="O13" s="623">
        <f>'FORMATO PROPUESTA ECONÓMICA'!E10</f>
        <v>0</v>
      </c>
      <c r="P13" s="629">
        <f>IF(ISERROR(+N13*O13),"",+N13*O13)</f>
        <v>0</v>
      </c>
      <c r="Q13" s="755"/>
      <c r="R13" s="755"/>
      <c r="S13" s="755"/>
    </row>
    <row r="14" spans="2:19" x14ac:dyDescent="0.25">
      <c r="B14" s="750" t="str">
        <f>+'[3]1. Colector Principal'!C17</f>
        <v>Húmedo , entre 0 m y 2 m de profundidad</v>
      </c>
      <c r="C14" s="752" t="e">
        <f>'FORMATO PROPUESTA ECONÓMICA'!#REF!</f>
        <v>#REF!</v>
      </c>
      <c r="D14" s="756"/>
      <c r="E14" s="634">
        <f>'FORMATO PROPUESTA ECONÓMICA'!A11</f>
        <v>1.4</v>
      </c>
      <c r="F14" s="627" t="s">
        <v>58</v>
      </c>
      <c r="G14" s="628" t="s">
        <v>59</v>
      </c>
      <c r="H14" s="629">
        <f>IF(ISERROR(VLOOKUP($D14,[4]Ppto!$A$3:$F$100,4,)),0,VLOOKUP($D14,[4]Ppto!$A$3:$F$100,4,))</f>
        <v>0</v>
      </c>
      <c r="I14" s="630">
        <f>IF(ISERROR(VLOOKUP($D14,[4]Ppto!$A$3:$F$100,5,)),0,VLOOKUP($D14,[4]Ppto!$A$3:$F$100,5,))</f>
        <v>0</v>
      </c>
      <c r="J14" s="631">
        <v>1.0000001152102487</v>
      </c>
      <c r="K14" s="630">
        <f>+I14-O14</f>
        <v>0</v>
      </c>
      <c r="L14" s="630">
        <f t="shared" si="0"/>
        <v>0</v>
      </c>
      <c r="M14" s="630">
        <f>+L14-P14</f>
        <v>0</v>
      </c>
      <c r="N14" s="847">
        <f>+N13</f>
        <v>102</v>
      </c>
      <c r="O14" s="623">
        <f>'FORMATO PROPUESTA ECONÓMICA'!E11</f>
        <v>0</v>
      </c>
      <c r="P14" s="629">
        <f>IF(ISERROR(+N14*O14),"",+N14*O14)</f>
        <v>0</v>
      </c>
      <c r="Q14" s="755"/>
      <c r="R14" s="755"/>
      <c r="S14" s="755"/>
    </row>
    <row r="15" spans="2:19" x14ac:dyDescent="0.25">
      <c r="B15" s="750"/>
      <c r="C15" s="841"/>
      <c r="D15" s="758"/>
      <c r="E15" s="732">
        <f>'FORMATO PROPUESTA ECONÓMICA'!A12</f>
        <v>2</v>
      </c>
      <c r="F15" s="574" t="s">
        <v>60</v>
      </c>
      <c r="G15" s="44"/>
      <c r="H15" s="39"/>
      <c r="I15" s="40"/>
      <c r="J15" s="41"/>
      <c r="K15" s="40"/>
      <c r="L15" s="40"/>
      <c r="M15" s="40"/>
      <c r="N15" s="848"/>
      <c r="O15" s="803"/>
      <c r="P15" s="39"/>
      <c r="Q15" s="755"/>
      <c r="R15" s="755"/>
    </row>
    <row r="16" spans="2:19" x14ac:dyDescent="0.25">
      <c r="B16" s="750"/>
      <c r="C16" s="841"/>
      <c r="D16" s="758"/>
      <c r="E16" s="735">
        <f>'FORMATO PROPUESTA ECONÓMICA'!A13</f>
        <v>2.1</v>
      </c>
      <c r="F16" s="574" t="s">
        <v>61</v>
      </c>
      <c r="G16" s="44"/>
      <c r="H16" s="39"/>
      <c r="I16" s="40"/>
      <c r="J16" s="41"/>
      <c r="K16" s="40"/>
      <c r="L16" s="40"/>
      <c r="M16" s="40"/>
      <c r="N16" s="848"/>
      <c r="O16" s="803"/>
      <c r="P16" s="39"/>
      <c r="Q16" s="755"/>
      <c r="R16" s="755"/>
    </row>
    <row r="17" spans="2:19" ht="30" x14ac:dyDescent="0.25">
      <c r="B17" s="750"/>
      <c r="C17" s="752" t="e">
        <f>'FORMATO PROPUESTA ECONÓMICA'!#REF!</f>
        <v>#REF!</v>
      </c>
      <c r="D17" s="756"/>
      <c r="E17" s="634">
        <f>'FORMATO PROPUESTA ECONÓMICA'!A14</f>
        <v>2.2000000000000002</v>
      </c>
      <c r="F17" s="632" t="s">
        <v>62</v>
      </c>
      <c r="G17" s="628" t="s">
        <v>15</v>
      </c>
      <c r="H17" s="629"/>
      <c r="I17" s="630"/>
      <c r="J17" s="631"/>
      <c r="K17" s="630"/>
      <c r="L17" s="630"/>
      <c r="M17" s="630"/>
      <c r="N17" s="849">
        <f>N36*0.6*1.1+N65*0.4*0.5</f>
        <v>789.78600000000006</v>
      </c>
      <c r="O17" s="623">
        <f>'FORMATO PROPUESTA ECONÓMICA'!E14</f>
        <v>0</v>
      </c>
      <c r="P17" s="629">
        <f>IF(ISERROR(+N17*O17),"",+N17*O17)</f>
        <v>0</v>
      </c>
      <c r="Q17" s="755"/>
      <c r="R17" s="755"/>
    </row>
    <row r="18" spans="2:19" ht="45" hidden="1" x14ac:dyDescent="0.25">
      <c r="B18" s="750"/>
      <c r="C18" s="752" t="e">
        <f>'FORMATO PROPUESTA ECONÓMICA'!#REF!</f>
        <v>#REF!</v>
      </c>
      <c r="D18" s="756"/>
      <c r="E18" s="634">
        <f>'FORMATO PROPUESTA ECONÓMICA'!A15</f>
        <v>2.2999999999999998</v>
      </c>
      <c r="F18" s="632" t="s">
        <v>431</v>
      </c>
      <c r="G18" s="628"/>
      <c r="H18" s="629"/>
      <c r="I18" s="630"/>
      <c r="J18" s="631"/>
      <c r="K18" s="630"/>
      <c r="L18" s="630"/>
      <c r="M18" s="630"/>
      <c r="N18" s="849"/>
      <c r="O18" s="623">
        <f>'FORMATO PROPUESTA ECONÓMICA'!E15</f>
        <v>0</v>
      </c>
      <c r="P18" s="629">
        <f>IF(ISERROR(+N18*O18),"",+N18*O18)</f>
        <v>0</v>
      </c>
      <c r="Q18" s="755"/>
      <c r="R18" s="755"/>
    </row>
    <row r="19" spans="2:19" ht="75" x14ac:dyDescent="0.25">
      <c r="B19" s="750" t="str">
        <f>+'[3]1. Colector Principal'!C22</f>
        <v>Entibados en madera</v>
      </c>
      <c r="C19" s="841" t="e">
        <f>'FORMATO PROPUESTA ECONÓMICA'!#REF!</f>
        <v>#REF!</v>
      </c>
      <c r="D19" s="758"/>
      <c r="E19" s="732">
        <f>'FORMATO PROPUESTA ECONÓMICA'!A17</f>
        <v>3</v>
      </c>
      <c r="F19" s="43" t="s">
        <v>63</v>
      </c>
      <c r="G19" s="44" t="s">
        <v>15</v>
      </c>
      <c r="H19" s="39">
        <f>IF(ISERROR(VLOOKUP($D19,[4]Ppto!$A$3:$F$100,4,)),0,VLOOKUP($D19,[4]Ppto!$A$3:$F$100,4,))</f>
        <v>0</v>
      </c>
      <c r="I19" s="40">
        <f>IF(ISERROR(VLOOKUP($D19,[4]Ppto!$A$3:$F$100,5,)),0,VLOOKUP($D19,[4]Ppto!$A$3:$F$100,5,))</f>
        <v>0</v>
      </c>
      <c r="J19" s="41">
        <v>1</v>
      </c>
      <c r="K19" s="40" t="e">
        <f>+I19-#REF!</f>
        <v>#REF!</v>
      </c>
      <c r="L19" s="40">
        <f t="shared" si="0"/>
        <v>0</v>
      </c>
      <c r="M19" s="40">
        <f>+L19-P19</f>
        <v>0</v>
      </c>
      <c r="N19" s="848"/>
      <c r="O19" s="803"/>
      <c r="P19" s="39"/>
      <c r="Q19" s="755"/>
      <c r="R19" s="755"/>
      <c r="S19" s="755"/>
    </row>
    <row r="20" spans="2:19" ht="30" x14ac:dyDescent="0.25">
      <c r="B20" s="750"/>
      <c r="C20" s="752" t="e">
        <f>'FORMATO PROPUESTA ECONÓMICA'!#REF!</f>
        <v>#REF!</v>
      </c>
      <c r="D20" s="756"/>
      <c r="E20" s="634">
        <f>'FORMATO PROPUESTA ECONÓMICA'!A18</f>
        <v>3.1</v>
      </c>
      <c r="F20" s="633" t="s">
        <v>64</v>
      </c>
      <c r="G20" s="628" t="s">
        <v>15</v>
      </c>
      <c r="H20" s="629"/>
      <c r="I20" s="630"/>
      <c r="J20" s="631"/>
      <c r="K20" s="630"/>
      <c r="L20" s="630"/>
      <c r="M20" s="630"/>
      <c r="N20" s="847">
        <f>N17*0.2</f>
        <v>157.95720000000003</v>
      </c>
      <c r="O20" s="623">
        <f>'FORMATO PROPUESTA ECONÓMICA'!E18</f>
        <v>0</v>
      </c>
      <c r="P20" s="629">
        <f t="shared" ref="P20:P25" si="1">IF(ISERROR(+N20*O20),"",+N20*O20)</f>
        <v>0</v>
      </c>
      <c r="Q20" s="755"/>
      <c r="R20" s="755"/>
      <c r="S20" s="755"/>
    </row>
    <row r="21" spans="2:19" ht="30" x14ac:dyDescent="0.25">
      <c r="B21" s="750"/>
      <c r="C21" s="752" t="e">
        <f>'FORMATO PROPUESTA ECONÓMICA'!#REF!</f>
        <v>#REF!</v>
      </c>
      <c r="D21" s="756"/>
      <c r="E21" s="634">
        <f>'FORMATO PROPUESTA ECONÓMICA'!A19</f>
        <v>3.2</v>
      </c>
      <c r="F21" s="633" t="s">
        <v>65</v>
      </c>
      <c r="G21" s="628" t="s">
        <v>15</v>
      </c>
      <c r="H21" s="629"/>
      <c r="I21" s="630"/>
      <c r="J21" s="631"/>
      <c r="K21" s="630"/>
      <c r="L21" s="630"/>
      <c r="M21" s="630"/>
      <c r="N21" s="850">
        <f>N17*0.5-N25</f>
        <v>357.209</v>
      </c>
      <c r="O21" s="623">
        <f>'FORMATO PROPUESTA ECONÓMICA'!E19</f>
        <v>0</v>
      </c>
      <c r="P21" s="629">
        <f t="shared" si="1"/>
        <v>0</v>
      </c>
      <c r="Q21" s="755"/>
      <c r="R21" s="755"/>
    </row>
    <row r="22" spans="2:19" ht="30" x14ac:dyDescent="0.25">
      <c r="B22" s="750"/>
      <c r="C22" s="752" t="e">
        <f>'FORMATO PROPUESTA ECONÓMICA'!#REF!</f>
        <v>#REF!</v>
      </c>
      <c r="D22" s="756"/>
      <c r="E22" s="634">
        <f>'FORMATO PROPUESTA ECONÓMICA'!A20</f>
        <v>3.3</v>
      </c>
      <c r="F22" s="633" t="s">
        <v>66</v>
      </c>
      <c r="G22" s="628" t="s">
        <v>15</v>
      </c>
      <c r="H22" s="629"/>
      <c r="I22" s="630"/>
      <c r="J22" s="631"/>
      <c r="K22" s="630"/>
      <c r="L22" s="630"/>
      <c r="M22" s="630"/>
      <c r="N22" s="847">
        <f>N17*0.3-N24</f>
        <v>218.9358</v>
      </c>
      <c r="O22" s="623">
        <f>'FORMATO PROPUESTA ECONÓMICA'!E20</f>
        <v>0</v>
      </c>
      <c r="P22" s="629">
        <f t="shared" si="1"/>
        <v>0</v>
      </c>
      <c r="Q22" s="755"/>
      <c r="R22" s="755"/>
      <c r="S22" s="755"/>
    </row>
    <row r="23" spans="2:19" hidden="1" x14ac:dyDescent="0.25">
      <c r="B23" s="750"/>
      <c r="C23" s="752" t="e">
        <f>'FORMATO PROPUESTA ECONÓMICA'!#REF!</f>
        <v>#REF!</v>
      </c>
      <c r="D23" s="753"/>
      <c r="E23" s="634">
        <f>'FORMATO PROPUESTA ECONÓMICA'!A21</f>
        <v>3.4</v>
      </c>
      <c r="F23" s="633" t="s">
        <v>67</v>
      </c>
      <c r="G23" s="628"/>
      <c r="H23" s="629"/>
      <c r="I23" s="630"/>
      <c r="J23" s="631"/>
      <c r="K23" s="630"/>
      <c r="L23" s="630"/>
      <c r="M23" s="630"/>
      <c r="N23" s="847"/>
      <c r="O23" s="623">
        <f>'FORMATO PROPUESTA ECONÓMICA'!E21</f>
        <v>0</v>
      </c>
      <c r="P23" s="629">
        <f t="shared" si="1"/>
        <v>0</v>
      </c>
      <c r="Q23" s="755"/>
      <c r="R23" s="755"/>
      <c r="S23" s="755"/>
    </row>
    <row r="24" spans="2:19" ht="30" x14ac:dyDescent="0.25">
      <c r="B24" s="750"/>
      <c r="C24" s="752" t="e">
        <f>'FORMATO PROPUESTA ECONÓMICA'!#REF!</f>
        <v>#REF!</v>
      </c>
      <c r="D24" s="756"/>
      <c r="E24" s="634">
        <f>'FORMATO PROPUESTA ECONÓMICA'!A22</f>
        <v>3.5</v>
      </c>
      <c r="F24" s="633" t="s">
        <v>68</v>
      </c>
      <c r="G24" s="628" t="s">
        <v>15</v>
      </c>
      <c r="H24" s="629"/>
      <c r="I24" s="630"/>
      <c r="J24" s="631"/>
      <c r="K24" s="630"/>
      <c r="L24" s="630"/>
      <c r="M24" s="630"/>
      <c r="N24" s="847">
        <f>N110</f>
        <v>18</v>
      </c>
      <c r="O24" s="623">
        <f>'FORMATO PROPUESTA ECONÓMICA'!E22</f>
        <v>0</v>
      </c>
      <c r="P24" s="629">
        <f t="shared" si="1"/>
        <v>0</v>
      </c>
      <c r="Q24" s="755"/>
      <c r="R24" s="755"/>
      <c r="S24" s="616"/>
    </row>
    <row r="25" spans="2:19" x14ac:dyDescent="0.25">
      <c r="B25" s="750"/>
      <c r="C25" s="752" t="e">
        <f>'FORMATO PROPUESTA ECONÓMICA'!#REF!</f>
        <v>#REF!</v>
      </c>
      <c r="D25" s="756"/>
      <c r="E25" s="634">
        <f>'FORMATO PROPUESTA ECONÓMICA'!A23</f>
        <v>3.6</v>
      </c>
      <c r="F25" s="633" t="s">
        <v>441</v>
      </c>
      <c r="G25" s="628" t="s">
        <v>15</v>
      </c>
      <c r="H25" s="629"/>
      <c r="I25" s="630"/>
      <c r="J25" s="631"/>
      <c r="K25" s="630"/>
      <c r="L25" s="630"/>
      <c r="M25" s="630"/>
      <c r="N25" s="847">
        <f>N36*0.4*0.1</f>
        <v>37.684000000000005</v>
      </c>
      <c r="O25" s="623">
        <f>'FORMATO PROPUESTA ECONÓMICA'!E23</f>
        <v>0</v>
      </c>
      <c r="P25" s="629">
        <f t="shared" si="1"/>
        <v>0</v>
      </c>
      <c r="Q25" s="755"/>
      <c r="R25" s="755"/>
      <c r="S25" s="616"/>
    </row>
    <row r="26" spans="2:19" x14ac:dyDescent="0.25">
      <c r="B26" s="750" t="str">
        <f>+'[3]1. Colector Principal'!C25</f>
        <v>Lleno y apisonado de zanjas y apiques con</v>
      </c>
      <c r="C26" s="841" t="e">
        <f>'FORMATO PROPUESTA ECONÓMICA'!#REF!</f>
        <v>#REF!</v>
      </c>
      <c r="D26" s="758"/>
      <c r="E26" s="732">
        <f>'FORMATO PROPUESTA ECONÓMICA'!A24</f>
        <v>4</v>
      </c>
      <c r="F26" s="43" t="s">
        <v>69</v>
      </c>
      <c r="G26" s="44"/>
      <c r="H26" s="39">
        <f>IF(ISERROR(VLOOKUP($D26,[4]Ppto!$A$3:$F$100,4,)),0,VLOOKUP($D26,[4]Ppto!$A$3:$F$100,4,))</f>
        <v>0</v>
      </c>
      <c r="I26" s="40">
        <f>IF(ISERROR(VLOOKUP($D26,[4]Ppto!$A$3:$F$100,5,)),0,VLOOKUP($D26,[4]Ppto!$A$3:$F$100,5,))</f>
        <v>0</v>
      </c>
      <c r="J26" s="41">
        <v>1</v>
      </c>
      <c r="K26" s="40">
        <f>+I26-O27</f>
        <v>0</v>
      </c>
      <c r="L26" s="40">
        <f t="shared" si="0"/>
        <v>0</v>
      </c>
      <c r="M26" s="40">
        <f>+L26-P26</f>
        <v>0</v>
      </c>
      <c r="N26" s="848"/>
      <c r="O26" s="803"/>
      <c r="P26" s="39"/>
      <c r="Q26" s="755"/>
      <c r="R26" s="755"/>
    </row>
    <row r="27" spans="2:19" ht="30" x14ac:dyDescent="0.25">
      <c r="B27" s="750" t="str">
        <f>+'[3]1. Colector Principal'!C26</f>
        <v>Material selecto de la excavación</v>
      </c>
      <c r="C27" s="752" t="e">
        <f>'FORMATO PROPUESTA ECONÓMICA'!#REF!</f>
        <v>#REF!</v>
      </c>
      <c r="D27" s="756"/>
      <c r="E27" s="634">
        <f>'FORMATO PROPUESTA ECONÓMICA'!A25</f>
        <v>4.0999999999999996</v>
      </c>
      <c r="F27" s="633" t="s">
        <v>70</v>
      </c>
      <c r="G27" s="628" t="s">
        <v>15</v>
      </c>
      <c r="H27" s="629">
        <f>IF(ISERROR(VLOOKUP($D27,[4]Ppto!$A$3:$F$100,4,)),0,VLOOKUP($D27,[4]Ppto!$A$3:$F$100,4,))</f>
        <v>0</v>
      </c>
      <c r="I27" s="630">
        <f>IF(ISERROR(VLOOKUP($D27,[4]Ppto!$A$3:$F$100,5,)),0,VLOOKUP($D27,[4]Ppto!$A$3:$F$100,5,))</f>
        <v>0</v>
      </c>
      <c r="J27" s="631">
        <v>1.0000002734669624</v>
      </c>
      <c r="K27" s="630" t="e">
        <f>+I27-#REF!</f>
        <v>#REF!</v>
      </c>
      <c r="L27" s="630">
        <f t="shared" si="0"/>
        <v>0</v>
      </c>
      <c r="M27" s="630">
        <f>+L27-P27</f>
        <v>0</v>
      </c>
      <c r="N27" s="849">
        <f>+(N24+N22+N21+N25)</f>
        <v>631.8288</v>
      </c>
      <c r="O27" s="623">
        <f>'FORMATO PROPUESTA ECONÓMICA'!E25</f>
        <v>0</v>
      </c>
      <c r="P27" s="629">
        <f>IF(ISERROR(+N27*O27),"",+N27*O27)</f>
        <v>0</v>
      </c>
      <c r="Q27" s="755"/>
      <c r="R27" s="755"/>
      <c r="S27" s="755"/>
    </row>
    <row r="28" spans="2:19" ht="30" x14ac:dyDescent="0.25">
      <c r="B28" s="750" t="str">
        <f>+'[3]1. Colector Principal'!C28</f>
        <v>Cargue, retiro y botada de material sobrante</v>
      </c>
      <c r="C28" s="841" t="e">
        <f>'FORMATO PROPUESTA ECONÓMICA'!#REF!</f>
        <v>#REF!</v>
      </c>
      <c r="D28" s="758"/>
      <c r="E28" s="732">
        <f>'FORMATO PROPUESTA ECONÓMICA'!A26</f>
        <v>5</v>
      </c>
      <c r="F28" s="43" t="s">
        <v>71</v>
      </c>
      <c r="G28" s="44"/>
      <c r="H28" s="39">
        <f>IF(ISERROR(VLOOKUP($D28,[4]Ppto!$A$3:$F$100,4,)),0,VLOOKUP($D28,[4]Ppto!$A$3:$F$100,4,))</f>
        <v>0</v>
      </c>
      <c r="I28" s="40">
        <f>IF(ISERROR(VLOOKUP($D28,[4]Ppto!$A$3:$F$100,5,)),0,VLOOKUP($D28,[4]Ppto!$A$3:$F$100,5,))</f>
        <v>0</v>
      </c>
      <c r="J28" s="41">
        <v>1</v>
      </c>
      <c r="K28" s="40">
        <f>+I28-O28</f>
        <v>0</v>
      </c>
      <c r="L28" s="40">
        <f t="shared" si="0"/>
        <v>0</v>
      </c>
      <c r="M28" s="40">
        <f>+L28-P28</f>
        <v>0</v>
      </c>
      <c r="N28" s="848"/>
      <c r="O28" s="803"/>
      <c r="P28" s="39"/>
      <c r="Q28" s="755"/>
      <c r="R28" s="755"/>
    </row>
    <row r="29" spans="2:19" ht="30" x14ac:dyDescent="0.25">
      <c r="B29" s="750" t="str">
        <f>+'[3]1. Colector Principal'!C29</f>
        <v>Retiro y disposición final de material sobrante a cualquier distancia</v>
      </c>
      <c r="C29" s="752" t="e">
        <f>'FORMATO PROPUESTA ECONÓMICA'!#REF!</f>
        <v>#REF!</v>
      </c>
      <c r="D29" s="756"/>
      <c r="E29" s="634">
        <f>'FORMATO PROPUESTA ECONÓMICA'!A27</f>
        <v>5.0999999999999996</v>
      </c>
      <c r="F29" s="633" t="s">
        <v>72</v>
      </c>
      <c r="G29" s="628" t="s">
        <v>73</v>
      </c>
      <c r="H29" s="629">
        <f>IF(ISERROR(VLOOKUP($D29,[4]Ppto!$A$3:$F$100,4,)),0,VLOOKUP($D29,[4]Ppto!$A$3:$F$100,4,))</f>
        <v>0</v>
      </c>
      <c r="I29" s="630">
        <f>IF(ISERROR(VLOOKUP($D29,[4]Ppto!$A$3:$F$100,5,)),0,VLOOKUP($D29,[4]Ppto!$A$3:$F$100,5,))</f>
        <v>0</v>
      </c>
      <c r="J29" s="631">
        <v>1.0000000111846372</v>
      </c>
      <c r="K29" s="630">
        <f>+I29-O29</f>
        <v>0</v>
      </c>
      <c r="L29" s="630">
        <f t="shared" si="0"/>
        <v>0</v>
      </c>
      <c r="M29" s="630">
        <f>+L29-P29</f>
        <v>0</v>
      </c>
      <c r="N29" s="849">
        <f>+N11</f>
        <v>901.26</v>
      </c>
      <c r="O29" s="623">
        <f>'FORMATO PROPUESTA ECONÓMICA'!E27</f>
        <v>0</v>
      </c>
      <c r="P29" s="629">
        <f>IF(ISERROR(+N29*O29),"",+N29*O29)</f>
        <v>0</v>
      </c>
      <c r="Q29" s="755"/>
      <c r="R29" s="755"/>
    </row>
    <row r="30" spans="2:19" ht="30" x14ac:dyDescent="0.25">
      <c r="B30" s="750"/>
      <c r="C30" s="752" t="e">
        <f>'FORMATO PROPUESTA ECONÓMICA'!#REF!</f>
        <v>#REF!</v>
      </c>
      <c r="D30" s="756"/>
      <c r="E30" s="634">
        <f>'FORMATO PROPUESTA ECONÓMICA'!A28</f>
        <v>5.2</v>
      </c>
      <c r="F30" s="633" t="s">
        <v>74</v>
      </c>
      <c r="G30" s="628" t="s">
        <v>73</v>
      </c>
      <c r="H30" s="629"/>
      <c r="I30" s="630"/>
      <c r="J30" s="631"/>
      <c r="K30" s="630"/>
      <c r="L30" s="630"/>
      <c r="M30" s="630"/>
      <c r="N30" s="849">
        <f>+N12</f>
        <v>168</v>
      </c>
      <c r="O30" s="623">
        <f>'FORMATO PROPUESTA ECONÓMICA'!E28</f>
        <v>0</v>
      </c>
      <c r="P30" s="629">
        <f>IF(ISERROR(+N30*O30),"",+N30*O30)</f>
        <v>0</v>
      </c>
      <c r="Q30" s="755"/>
      <c r="R30" s="755"/>
      <c r="S30" s="616"/>
    </row>
    <row r="31" spans="2:19" ht="45" x14ac:dyDescent="0.25">
      <c r="B31" s="750"/>
      <c r="C31" s="752" t="e">
        <f>'FORMATO PROPUESTA ECONÓMICA'!#REF!</f>
        <v>#REF!</v>
      </c>
      <c r="D31" s="756"/>
      <c r="E31" s="634">
        <f>'FORMATO PROPUESTA ECONÓMICA'!A29</f>
        <v>5.3</v>
      </c>
      <c r="F31" s="633" t="s">
        <v>75</v>
      </c>
      <c r="G31" s="628" t="s">
        <v>7</v>
      </c>
      <c r="H31" s="629"/>
      <c r="I31" s="630"/>
      <c r="J31" s="631"/>
      <c r="K31" s="630"/>
      <c r="L31" s="630"/>
      <c r="M31" s="630"/>
      <c r="N31" s="849">
        <f>+N13</f>
        <v>102</v>
      </c>
      <c r="O31" s="623">
        <f>'FORMATO PROPUESTA ECONÓMICA'!E29</f>
        <v>0</v>
      </c>
      <c r="P31" s="629">
        <f>IF(ISERROR(+N31*O31),"",+N31*O31)</f>
        <v>0</v>
      </c>
      <c r="Q31" s="755"/>
      <c r="R31" s="755"/>
      <c r="S31" s="755"/>
    </row>
    <row r="32" spans="2:19" ht="45" x14ac:dyDescent="0.25">
      <c r="B32" s="750"/>
      <c r="C32" s="752" t="e">
        <f>'FORMATO PROPUESTA ECONÓMICA'!#REF!</f>
        <v>#REF!</v>
      </c>
      <c r="D32" s="756"/>
      <c r="E32" s="634">
        <f>'FORMATO PROPUESTA ECONÓMICA'!A30</f>
        <v>5.4</v>
      </c>
      <c r="F32" s="633" t="s">
        <v>76</v>
      </c>
      <c r="G32" s="628" t="s">
        <v>7</v>
      </c>
      <c r="H32" s="629"/>
      <c r="I32" s="630"/>
      <c r="J32" s="631"/>
      <c r="K32" s="630"/>
      <c r="L32" s="630"/>
      <c r="M32" s="630"/>
      <c r="N32" s="849">
        <f>+N14</f>
        <v>102</v>
      </c>
      <c r="O32" s="623">
        <f>'FORMATO PROPUESTA ECONÓMICA'!E30</f>
        <v>0</v>
      </c>
      <c r="P32" s="629">
        <f>IF(ISERROR(+N32*O32),"",+N32*O32)</f>
        <v>0</v>
      </c>
      <c r="Q32" s="755"/>
      <c r="R32" s="755"/>
      <c r="S32" s="755"/>
    </row>
    <row r="33" spans="2:19" x14ac:dyDescent="0.25">
      <c r="B33" s="750"/>
      <c r="C33" s="752" t="e">
        <f>'FORMATO PROPUESTA ECONÓMICA'!#REF!</f>
        <v>#REF!</v>
      </c>
      <c r="D33" s="756"/>
      <c r="E33" s="634">
        <f>'FORMATO PROPUESTA ECONÓMICA'!A31</f>
        <v>5.5</v>
      </c>
      <c r="F33" s="633" t="s">
        <v>77</v>
      </c>
      <c r="G33" s="628" t="s">
        <v>16</v>
      </c>
      <c r="H33" s="629"/>
      <c r="I33" s="630"/>
      <c r="J33" s="631"/>
      <c r="K33" s="630"/>
      <c r="L33" s="630"/>
      <c r="M33" s="630"/>
      <c r="N33" s="849">
        <f>320*1</f>
        <v>320</v>
      </c>
      <c r="O33" s="623">
        <f>'FORMATO PROPUESTA ECONÓMICA'!E31</f>
        <v>0</v>
      </c>
      <c r="P33" s="629">
        <f>IF(ISERROR(+N33*O33),"",+N33*O33)</f>
        <v>0</v>
      </c>
      <c r="Q33" s="755"/>
      <c r="R33" s="755"/>
    </row>
    <row r="34" spans="2:19" x14ac:dyDescent="0.25">
      <c r="B34" s="750" t="str">
        <f>+'[3]1. Colector Principal'!C30</f>
        <v>Construcción de Cámara de inspección de concreto de 21 MPa vaciadas en el sitio</v>
      </c>
      <c r="C34" s="841" t="e">
        <f>'FORMATO PROPUESTA ECONÓMICA'!#REF!</f>
        <v>#REF!</v>
      </c>
      <c r="D34" s="758"/>
      <c r="E34" s="732">
        <f>'FORMATO PROPUESTA ECONÓMICA'!A32</f>
        <v>6</v>
      </c>
      <c r="F34" s="43" t="s">
        <v>78</v>
      </c>
      <c r="G34" s="44"/>
      <c r="H34" s="39">
        <f>IF(ISERROR(VLOOKUP($D34,[4]Ppto!$A$3:$F$100,4,)),0,VLOOKUP($D34,[4]Ppto!$A$3:$F$100,4,))</f>
        <v>0</v>
      </c>
      <c r="I34" s="40">
        <f>IF(ISERROR(VLOOKUP($D34,[4]Ppto!$A$3:$F$100,5,)),0,VLOOKUP($D34,[4]Ppto!$A$3:$F$100,5,))</f>
        <v>0</v>
      </c>
      <c r="J34" s="41">
        <v>1</v>
      </c>
      <c r="K34" s="40">
        <f>+I34-O35</f>
        <v>0</v>
      </c>
      <c r="L34" s="40">
        <f t="shared" si="0"/>
        <v>0</v>
      </c>
      <c r="M34" s="40">
        <f>+L34-P34</f>
        <v>0</v>
      </c>
      <c r="N34" s="848"/>
      <c r="O34" s="803"/>
      <c r="P34" s="39"/>
      <c r="Q34" s="755"/>
      <c r="R34" s="755"/>
    </row>
    <row r="35" spans="2:19" ht="30" hidden="1" x14ac:dyDescent="0.25">
      <c r="B35" s="750" t="str">
        <f>+'[3]1. Colector Principal'!C31</f>
        <v>Cilindro de la cámara 1.2m, concéntrica vaciada en situ</v>
      </c>
      <c r="C35" s="752" t="e">
        <f>'FORMATO PROPUESTA ECONÓMICA'!#REF!</f>
        <v>#REF!</v>
      </c>
      <c r="D35" s="756"/>
      <c r="E35" s="634">
        <f>'FORMATO PROPUESTA ECONÓMICA'!A33</f>
        <v>6.1</v>
      </c>
      <c r="F35" s="633" t="s">
        <v>374</v>
      </c>
      <c r="G35" s="628" t="s">
        <v>59</v>
      </c>
      <c r="H35" s="629">
        <f>IF(ISERROR(VLOOKUP($D35,[4]Ppto!$A$3:$F$100,4,)),0,VLOOKUP($D35,[4]Ppto!$A$3:$F$100,4,))</f>
        <v>0</v>
      </c>
      <c r="I35" s="630">
        <f>IF(ISERROR(VLOOKUP($D35,[4]Ppto!$A$3:$F$100,5,)),0,VLOOKUP($D35,[4]Ppto!$A$3:$F$100,5,))</f>
        <v>0</v>
      </c>
      <c r="J35" s="631">
        <v>1.0000083683818088</v>
      </c>
      <c r="K35" s="630" t="e">
        <f>+I35-#REF!</f>
        <v>#REF!</v>
      </c>
      <c r="L35" s="630">
        <f t="shared" si="0"/>
        <v>0</v>
      </c>
      <c r="M35" s="630">
        <f>+L35-P35</f>
        <v>0</v>
      </c>
      <c r="N35" s="851"/>
      <c r="O35" s="623">
        <f>'FORMATO PROPUESTA ECONÓMICA'!E33</f>
        <v>0</v>
      </c>
      <c r="P35" s="629">
        <f t="shared" ref="P35:P63" si="2">IF(ISERROR(+N35*O35),"",+N35*O35)</f>
        <v>0</v>
      </c>
      <c r="Q35" s="755"/>
      <c r="R35" s="755"/>
    </row>
    <row r="36" spans="2:19" ht="30" x14ac:dyDescent="0.25">
      <c r="B36" s="750" t="str">
        <f>+'[3]1. Colector Principal'!C32</f>
        <v>Cilindro de la cámara 1.5m, concéntrica vaciada en situ</v>
      </c>
      <c r="C36" s="752" t="e">
        <f>'FORMATO PROPUESTA ECONÓMICA'!#REF!</f>
        <v>#REF!</v>
      </c>
      <c r="D36" s="756"/>
      <c r="E36" s="634">
        <f>'FORMATO PROPUESTA ECONÓMICA'!A34</f>
        <v>6.2</v>
      </c>
      <c r="F36" s="633" t="s">
        <v>375</v>
      </c>
      <c r="G36" s="628" t="s">
        <v>59</v>
      </c>
      <c r="H36" s="629">
        <f>IF(ISERROR(VLOOKUP($D36,[4]Ppto!$A$3:$F$100,4,)),0,VLOOKUP($D36,[4]Ppto!$A$3:$F$100,4,))</f>
        <v>0</v>
      </c>
      <c r="I36" s="630">
        <f>IF(ISERROR(VLOOKUP($D36,[4]Ppto!$A$3:$F$100,5,)),0,VLOOKUP($D36,[4]Ppto!$A$3:$F$100,5,))</f>
        <v>0</v>
      </c>
      <c r="J36" s="631">
        <v>0.99995852949508546</v>
      </c>
      <c r="K36" s="630">
        <f>+I36-O36</f>
        <v>0</v>
      </c>
      <c r="L36" s="630">
        <f t="shared" si="0"/>
        <v>0</v>
      </c>
      <c r="M36" s="630">
        <f>+L36-P36</f>
        <v>0</v>
      </c>
      <c r="N36" s="852">
        <v>942.1</v>
      </c>
      <c r="O36" s="623">
        <f>'FORMATO PROPUESTA ECONÓMICA'!E34</f>
        <v>0</v>
      </c>
      <c r="P36" s="629">
        <f t="shared" si="2"/>
        <v>0</v>
      </c>
      <c r="Q36" s="755"/>
      <c r="R36" s="755"/>
      <c r="S36" s="755"/>
    </row>
    <row r="37" spans="2:19" ht="30" hidden="1" x14ac:dyDescent="0.25">
      <c r="B37" s="750"/>
      <c r="C37" s="752" t="e">
        <f>'FORMATO PROPUESTA ECONÓMICA'!#REF!</f>
        <v>#REF!</v>
      </c>
      <c r="D37" s="756"/>
      <c r="E37" s="634">
        <f>'FORMATO PROPUESTA ECONÓMICA'!A35</f>
        <v>6.3</v>
      </c>
      <c r="F37" s="633" t="s">
        <v>376</v>
      </c>
      <c r="G37" s="628" t="s">
        <v>59</v>
      </c>
      <c r="H37" s="629"/>
      <c r="I37" s="630"/>
      <c r="J37" s="631"/>
      <c r="K37" s="630"/>
      <c r="L37" s="630"/>
      <c r="M37" s="630"/>
      <c r="N37" s="852"/>
      <c r="O37" s="623">
        <f>'FORMATO PROPUESTA ECONÓMICA'!E35</f>
        <v>0</v>
      </c>
      <c r="P37" s="629">
        <f t="shared" si="2"/>
        <v>0</v>
      </c>
      <c r="Q37" s="755"/>
      <c r="R37" s="755"/>
    </row>
    <row r="38" spans="2:19" ht="30" hidden="1" x14ac:dyDescent="0.25">
      <c r="B38" s="750"/>
      <c r="C38" s="752" t="e">
        <f>'FORMATO PROPUESTA ECONÓMICA'!#REF!</f>
        <v>#REF!</v>
      </c>
      <c r="D38" s="756"/>
      <c r="E38" s="634">
        <f>'FORMATO PROPUESTA ECONÓMICA'!A36</f>
        <v>6.4</v>
      </c>
      <c r="F38" s="633" t="s">
        <v>377</v>
      </c>
      <c r="G38" s="628" t="s">
        <v>59</v>
      </c>
      <c r="H38" s="629"/>
      <c r="I38" s="630"/>
      <c r="J38" s="631"/>
      <c r="K38" s="630"/>
      <c r="L38" s="630"/>
      <c r="M38" s="630"/>
      <c r="N38" s="852"/>
      <c r="O38" s="623">
        <f>'FORMATO PROPUESTA ECONÓMICA'!E36</f>
        <v>0</v>
      </c>
      <c r="P38" s="629">
        <f t="shared" si="2"/>
        <v>0</v>
      </c>
      <c r="Q38" s="755"/>
      <c r="R38" s="755"/>
    </row>
    <row r="39" spans="2:19" ht="30" hidden="1" x14ac:dyDescent="0.25">
      <c r="B39" s="750" t="str">
        <f>+'[3]1. Colector Principal'!C33</f>
        <v xml:space="preserve"> Base y Cañuela pozo de inspección para tuberías entre 8" a 24" (concreto f´c= 28MPa elab. en obra)</v>
      </c>
      <c r="C39" s="752" t="e">
        <f>'FORMATO PROPUESTA ECONÓMICA'!#REF!</f>
        <v>#REF!</v>
      </c>
      <c r="D39" s="756"/>
      <c r="E39" s="634">
        <f>'FORMATO PROPUESTA ECONÓMICA'!A37</f>
        <v>6.5</v>
      </c>
      <c r="F39" s="633" t="s">
        <v>378</v>
      </c>
      <c r="G39" s="628" t="s">
        <v>59</v>
      </c>
      <c r="H39" s="629">
        <f>IF(ISERROR(VLOOKUP($D39,[4]Ppto!$A$3:$F$100,4,)),0,VLOOKUP($D39,[4]Ppto!$A$3:$F$100,4,))</f>
        <v>0</v>
      </c>
      <c r="I39" s="630">
        <f>IF(ISERROR(VLOOKUP($D39,[4]Ppto!$A$3:$F$100,5,)),0,VLOOKUP($D39,[4]Ppto!$A$3:$F$100,5,))</f>
        <v>0</v>
      </c>
      <c r="J39" s="631">
        <v>1</v>
      </c>
      <c r="K39" s="630">
        <f>+I39-O39</f>
        <v>0</v>
      </c>
      <c r="L39" s="630">
        <f t="shared" si="0"/>
        <v>0</v>
      </c>
      <c r="M39" s="630">
        <f>+L39-P39</f>
        <v>0</v>
      </c>
      <c r="N39" s="852"/>
      <c r="O39" s="623">
        <f>'FORMATO PROPUESTA ECONÓMICA'!E37</f>
        <v>0</v>
      </c>
      <c r="P39" s="629">
        <f t="shared" si="2"/>
        <v>0</v>
      </c>
      <c r="Q39" s="755"/>
      <c r="R39" s="755"/>
      <c r="S39" s="755"/>
    </row>
    <row r="40" spans="2:19" hidden="1" x14ac:dyDescent="0.25">
      <c r="B40" s="750"/>
      <c r="C40" s="752" t="e">
        <f>'FORMATO PROPUESTA ECONÓMICA'!#REF!</f>
        <v>#REF!</v>
      </c>
      <c r="D40" s="756"/>
      <c r="E40" s="634">
        <f>'FORMATO PROPUESTA ECONÓMICA'!A38</f>
        <v>6.6</v>
      </c>
      <c r="F40" s="633" t="s">
        <v>382</v>
      </c>
      <c r="G40" s="628" t="s">
        <v>79</v>
      </c>
      <c r="H40" s="629"/>
      <c r="I40" s="630"/>
      <c r="J40" s="631"/>
      <c r="K40" s="630"/>
      <c r="L40" s="630"/>
      <c r="M40" s="630"/>
      <c r="N40" s="852"/>
      <c r="O40" s="623">
        <f>'FORMATO PROPUESTA ECONÓMICA'!E38</f>
        <v>0</v>
      </c>
      <c r="P40" s="629">
        <f t="shared" si="2"/>
        <v>0</v>
      </c>
      <c r="Q40" s="755"/>
      <c r="R40" s="755"/>
      <c r="S40" s="616"/>
    </row>
    <row r="41" spans="2:19" x14ac:dyDescent="0.25">
      <c r="B41" s="750"/>
      <c r="C41" s="752" t="e">
        <f>'FORMATO PROPUESTA ECONÓMICA'!#REF!</f>
        <v>#REF!</v>
      </c>
      <c r="D41" s="756"/>
      <c r="E41" s="634">
        <f>'FORMATO PROPUESTA ECONÓMICA'!A39</f>
        <v>6.7</v>
      </c>
      <c r="F41" s="633" t="s">
        <v>381</v>
      </c>
      <c r="G41" s="628" t="s">
        <v>79</v>
      </c>
      <c r="H41" s="629"/>
      <c r="I41" s="630"/>
      <c r="J41" s="631"/>
      <c r="K41" s="630"/>
      <c r="L41" s="630"/>
      <c r="M41" s="630"/>
      <c r="N41" s="849">
        <v>13</v>
      </c>
      <c r="O41" s="623">
        <f>'FORMATO PROPUESTA ECONÓMICA'!E39</f>
        <v>0</v>
      </c>
      <c r="P41" s="629">
        <f t="shared" si="2"/>
        <v>0</v>
      </c>
      <c r="Q41" s="755"/>
      <c r="R41" s="755"/>
    </row>
    <row r="42" spans="2:19" hidden="1" x14ac:dyDescent="0.25">
      <c r="B42" s="750"/>
      <c r="C42" s="752" t="e">
        <f>'FORMATO PROPUESTA ECONÓMICA'!#REF!</f>
        <v>#REF!</v>
      </c>
      <c r="D42" s="756"/>
      <c r="E42" s="634">
        <f>'FORMATO PROPUESTA ECONÓMICA'!A40</f>
        <v>6.8</v>
      </c>
      <c r="F42" s="633" t="s">
        <v>383</v>
      </c>
      <c r="G42" s="628" t="s">
        <v>79</v>
      </c>
      <c r="H42" s="629"/>
      <c r="I42" s="630"/>
      <c r="J42" s="631"/>
      <c r="K42" s="630"/>
      <c r="L42" s="630"/>
      <c r="M42" s="630"/>
      <c r="N42" s="849"/>
      <c r="O42" s="623">
        <f>'FORMATO PROPUESTA ECONÓMICA'!E40</f>
        <v>0</v>
      </c>
      <c r="P42" s="629">
        <f t="shared" si="2"/>
        <v>0</v>
      </c>
      <c r="Q42" s="755"/>
      <c r="R42" s="755"/>
    </row>
    <row r="43" spans="2:19" hidden="1" x14ac:dyDescent="0.25">
      <c r="B43" s="750"/>
      <c r="C43" s="752" t="e">
        <f>'FORMATO PROPUESTA ECONÓMICA'!#REF!</f>
        <v>#REF!</v>
      </c>
      <c r="D43" s="756"/>
      <c r="E43" s="634">
        <f>'FORMATO PROPUESTA ECONÓMICA'!A41</f>
        <v>6.9</v>
      </c>
      <c r="F43" s="633" t="s">
        <v>384</v>
      </c>
      <c r="G43" s="628" t="s">
        <v>79</v>
      </c>
      <c r="H43" s="629"/>
      <c r="I43" s="630"/>
      <c r="J43" s="631"/>
      <c r="K43" s="630"/>
      <c r="L43" s="630"/>
      <c r="M43" s="630"/>
      <c r="N43" s="849"/>
      <c r="O43" s="623">
        <f>'FORMATO PROPUESTA ECONÓMICA'!E41</f>
        <v>0</v>
      </c>
      <c r="P43" s="629">
        <f t="shared" si="2"/>
        <v>0</v>
      </c>
      <c r="Q43" s="755"/>
      <c r="R43" s="755"/>
    </row>
    <row r="44" spans="2:19" hidden="1" x14ac:dyDescent="0.25">
      <c r="B44" s="750"/>
      <c r="C44" s="752" t="e">
        <f>'FORMATO PROPUESTA ECONÓMICA'!#REF!</f>
        <v>#REF!</v>
      </c>
      <c r="D44" s="756"/>
      <c r="E44" s="634">
        <f>'FORMATO PROPUESTA ECONÓMICA'!A42</f>
        <v>6.1</v>
      </c>
      <c r="F44" s="633" t="s">
        <v>385</v>
      </c>
      <c r="G44" s="628" t="s">
        <v>79</v>
      </c>
      <c r="H44" s="629"/>
      <c r="I44" s="630"/>
      <c r="J44" s="631"/>
      <c r="K44" s="630"/>
      <c r="L44" s="630"/>
      <c r="M44" s="630"/>
      <c r="N44" s="849"/>
      <c r="O44" s="623">
        <f>'FORMATO PROPUESTA ECONÓMICA'!E42</f>
        <v>0</v>
      </c>
      <c r="P44" s="629">
        <f t="shared" si="2"/>
        <v>0</v>
      </c>
      <c r="Q44" s="755"/>
      <c r="R44" s="755"/>
    </row>
    <row r="45" spans="2:19" hidden="1" x14ac:dyDescent="0.25">
      <c r="B45" s="750"/>
      <c r="C45" s="752" t="e">
        <f>'FORMATO PROPUESTA ECONÓMICA'!#REF!</f>
        <v>#REF!</v>
      </c>
      <c r="D45" s="756"/>
      <c r="E45" s="634">
        <f>'FORMATO PROPUESTA ECONÓMICA'!A43</f>
        <v>6.11</v>
      </c>
      <c r="F45" s="711" t="s">
        <v>445</v>
      </c>
      <c r="G45" s="622" t="s">
        <v>79</v>
      </c>
      <c r="H45" s="623"/>
      <c r="I45" s="624"/>
      <c r="J45" s="625"/>
      <c r="K45" s="624"/>
      <c r="L45" s="624"/>
      <c r="M45" s="624"/>
      <c r="N45" s="849"/>
      <c r="O45" s="623">
        <f>'FORMATO PROPUESTA ECONÓMICA'!E43</f>
        <v>0</v>
      </c>
      <c r="P45" s="629">
        <f t="shared" si="2"/>
        <v>0</v>
      </c>
      <c r="Q45" s="755"/>
      <c r="R45" s="755"/>
    </row>
    <row r="46" spans="2:19" hidden="1" x14ac:dyDescent="0.25">
      <c r="B46" s="750"/>
      <c r="C46" s="752" t="e">
        <f>'FORMATO PROPUESTA ECONÓMICA'!#REF!</f>
        <v>#REF!</v>
      </c>
      <c r="D46" s="756"/>
      <c r="E46" s="634">
        <f>'FORMATO PROPUESTA ECONÓMICA'!A44</f>
        <v>6.12</v>
      </c>
      <c r="F46" s="633" t="s">
        <v>386</v>
      </c>
      <c r="G46" s="628" t="s">
        <v>79</v>
      </c>
      <c r="H46" s="629"/>
      <c r="I46" s="630"/>
      <c r="J46" s="631"/>
      <c r="K46" s="630"/>
      <c r="L46" s="630"/>
      <c r="M46" s="630"/>
      <c r="N46" s="849"/>
      <c r="O46" s="623">
        <f>'FORMATO PROPUESTA ECONÓMICA'!E44</f>
        <v>0</v>
      </c>
      <c r="P46" s="629">
        <f t="shared" si="2"/>
        <v>0</v>
      </c>
      <c r="Q46" s="755"/>
      <c r="R46" s="755"/>
    </row>
    <row r="47" spans="2:19" hidden="1" x14ac:dyDescent="0.25">
      <c r="B47" s="750"/>
      <c r="C47" s="752" t="e">
        <f>'FORMATO PROPUESTA ECONÓMICA'!#REF!</f>
        <v>#REF!</v>
      </c>
      <c r="D47" s="756"/>
      <c r="E47" s="634">
        <f>'FORMATO PROPUESTA ECONÓMICA'!A45</f>
        <v>6.13</v>
      </c>
      <c r="F47" s="633" t="s">
        <v>387</v>
      </c>
      <c r="G47" s="628" t="s">
        <v>79</v>
      </c>
      <c r="H47" s="629"/>
      <c r="I47" s="630"/>
      <c r="J47" s="631"/>
      <c r="K47" s="630"/>
      <c r="L47" s="630"/>
      <c r="M47" s="630"/>
      <c r="N47" s="849"/>
      <c r="O47" s="623">
        <f>'FORMATO PROPUESTA ECONÓMICA'!E45</f>
        <v>0</v>
      </c>
      <c r="P47" s="629">
        <f t="shared" si="2"/>
        <v>0</v>
      </c>
      <c r="Q47" s="755"/>
      <c r="R47" s="755"/>
    </row>
    <row r="48" spans="2:19" hidden="1" x14ac:dyDescent="0.25">
      <c r="B48" s="750"/>
      <c r="C48" s="752" t="e">
        <f>'FORMATO PROPUESTA ECONÓMICA'!#REF!</f>
        <v>#REF!</v>
      </c>
      <c r="D48" s="756"/>
      <c r="E48" s="634">
        <f>'FORMATO PROPUESTA ECONÓMICA'!A46</f>
        <v>6.14</v>
      </c>
      <c r="F48" s="633" t="s">
        <v>388</v>
      </c>
      <c r="G48" s="628" t="s">
        <v>79</v>
      </c>
      <c r="H48" s="629"/>
      <c r="I48" s="630"/>
      <c r="J48" s="631"/>
      <c r="K48" s="630"/>
      <c r="L48" s="630"/>
      <c r="M48" s="630"/>
      <c r="N48" s="849"/>
      <c r="O48" s="623">
        <f>'FORMATO PROPUESTA ECONÓMICA'!E46</f>
        <v>0</v>
      </c>
      <c r="P48" s="629">
        <f t="shared" si="2"/>
        <v>0</v>
      </c>
      <c r="Q48" s="755"/>
      <c r="R48" s="755"/>
    </row>
    <row r="49" spans="2:18" hidden="1" x14ac:dyDescent="0.25">
      <c r="B49" s="750"/>
      <c r="C49" s="752" t="e">
        <f>'FORMATO PROPUESTA ECONÓMICA'!#REF!</f>
        <v>#REF!</v>
      </c>
      <c r="D49" s="756"/>
      <c r="E49" s="634">
        <f>'FORMATO PROPUESTA ECONÓMICA'!A47</f>
        <v>6.15</v>
      </c>
      <c r="F49" s="633" t="s">
        <v>389</v>
      </c>
      <c r="G49" s="628" t="s">
        <v>79</v>
      </c>
      <c r="H49" s="629"/>
      <c r="I49" s="630"/>
      <c r="J49" s="631"/>
      <c r="K49" s="630"/>
      <c r="L49" s="630"/>
      <c r="M49" s="630"/>
      <c r="N49" s="849"/>
      <c r="O49" s="623">
        <f>'FORMATO PROPUESTA ECONÓMICA'!E47</f>
        <v>0</v>
      </c>
      <c r="P49" s="629">
        <f t="shared" si="2"/>
        <v>0</v>
      </c>
      <c r="Q49" s="755"/>
      <c r="R49" s="755"/>
    </row>
    <row r="50" spans="2:18" hidden="1" x14ac:dyDescent="0.25">
      <c r="B50" s="750"/>
      <c r="C50" s="752" t="e">
        <f>'FORMATO PROPUESTA ECONÓMICA'!#REF!</f>
        <v>#REF!</v>
      </c>
      <c r="D50" s="756"/>
      <c r="E50" s="634">
        <f>'FORMATO PROPUESTA ECONÓMICA'!A48</f>
        <v>6.16</v>
      </c>
      <c r="F50" s="633" t="s">
        <v>390</v>
      </c>
      <c r="G50" s="628" t="s">
        <v>79</v>
      </c>
      <c r="H50" s="629"/>
      <c r="I50" s="630"/>
      <c r="J50" s="631"/>
      <c r="K50" s="630"/>
      <c r="L50" s="630"/>
      <c r="M50" s="630"/>
      <c r="N50" s="849"/>
      <c r="O50" s="623">
        <f>'FORMATO PROPUESTA ECONÓMICA'!E48</f>
        <v>0</v>
      </c>
      <c r="P50" s="629">
        <f t="shared" si="2"/>
        <v>0</v>
      </c>
      <c r="Q50" s="755"/>
      <c r="R50" s="755"/>
    </row>
    <row r="51" spans="2:18" hidden="1" x14ac:dyDescent="0.25">
      <c r="B51" s="750"/>
      <c r="C51" s="752" t="e">
        <f>'FORMATO PROPUESTA ECONÓMICA'!#REF!</f>
        <v>#REF!</v>
      </c>
      <c r="D51" s="756"/>
      <c r="E51" s="634">
        <f>'FORMATO PROPUESTA ECONÓMICA'!A49</f>
        <v>6.17</v>
      </c>
      <c r="F51" s="633" t="s">
        <v>391</v>
      </c>
      <c r="G51" s="628" t="s">
        <v>79</v>
      </c>
      <c r="H51" s="629"/>
      <c r="I51" s="630"/>
      <c r="J51" s="631"/>
      <c r="K51" s="630"/>
      <c r="L51" s="630"/>
      <c r="M51" s="630"/>
      <c r="N51" s="849"/>
      <c r="O51" s="623">
        <f>'FORMATO PROPUESTA ECONÓMICA'!E49</f>
        <v>0</v>
      </c>
      <c r="P51" s="629">
        <f t="shared" si="2"/>
        <v>0</v>
      </c>
      <c r="Q51" s="755"/>
      <c r="R51" s="755"/>
    </row>
    <row r="52" spans="2:18" hidden="1" x14ac:dyDescent="0.25">
      <c r="B52" s="750"/>
      <c r="C52" s="752" t="e">
        <f>'FORMATO PROPUESTA ECONÓMICA'!#REF!</f>
        <v>#REF!</v>
      </c>
      <c r="D52" s="756"/>
      <c r="E52" s="634">
        <f>'FORMATO PROPUESTA ECONÓMICA'!A50</f>
        <v>6.18</v>
      </c>
      <c r="F52" s="633" t="s">
        <v>392</v>
      </c>
      <c r="G52" s="628" t="s">
        <v>79</v>
      </c>
      <c r="H52" s="629"/>
      <c r="I52" s="630"/>
      <c r="J52" s="631"/>
      <c r="K52" s="630"/>
      <c r="L52" s="630"/>
      <c r="M52" s="630"/>
      <c r="N52" s="849"/>
      <c r="O52" s="623">
        <f>'FORMATO PROPUESTA ECONÓMICA'!E50</f>
        <v>0</v>
      </c>
      <c r="P52" s="629">
        <f t="shared" si="2"/>
        <v>0</v>
      </c>
      <c r="Q52" s="755"/>
      <c r="R52" s="755"/>
    </row>
    <row r="53" spans="2:18" hidden="1" x14ac:dyDescent="0.25">
      <c r="B53" s="750"/>
      <c r="C53" s="752" t="e">
        <f>'FORMATO PROPUESTA ECONÓMICA'!#REF!</f>
        <v>#REF!</v>
      </c>
      <c r="D53" s="756"/>
      <c r="E53" s="634">
        <f>'FORMATO PROPUESTA ECONÓMICA'!A51</f>
        <v>6.19</v>
      </c>
      <c r="F53" s="633" t="s">
        <v>393</v>
      </c>
      <c r="G53" s="628" t="s">
        <v>79</v>
      </c>
      <c r="H53" s="629"/>
      <c r="I53" s="630"/>
      <c r="J53" s="631"/>
      <c r="K53" s="630"/>
      <c r="L53" s="630"/>
      <c r="M53" s="630"/>
      <c r="N53" s="849"/>
      <c r="O53" s="623">
        <f>'FORMATO PROPUESTA ECONÓMICA'!E51</f>
        <v>0</v>
      </c>
      <c r="P53" s="629">
        <f t="shared" si="2"/>
        <v>0</v>
      </c>
      <c r="Q53" s="755"/>
      <c r="R53" s="755"/>
    </row>
    <row r="54" spans="2:18" hidden="1" x14ac:dyDescent="0.25">
      <c r="B54" s="750"/>
      <c r="C54" s="752" t="e">
        <f>'FORMATO PROPUESTA ECONÓMICA'!#REF!</f>
        <v>#REF!</v>
      </c>
      <c r="D54" s="756"/>
      <c r="E54" s="634">
        <f>'FORMATO PROPUESTA ECONÓMICA'!A52</f>
        <v>6.2</v>
      </c>
      <c r="F54" s="633" t="s">
        <v>394</v>
      </c>
      <c r="G54" s="628" t="s">
        <v>79</v>
      </c>
      <c r="H54" s="629"/>
      <c r="I54" s="630"/>
      <c r="J54" s="631"/>
      <c r="K54" s="630"/>
      <c r="L54" s="630"/>
      <c r="M54" s="630"/>
      <c r="N54" s="849"/>
      <c r="O54" s="623">
        <f>'FORMATO PROPUESTA ECONÓMICA'!E52</f>
        <v>0</v>
      </c>
      <c r="P54" s="629">
        <f t="shared" si="2"/>
        <v>0</v>
      </c>
      <c r="Q54" s="755"/>
      <c r="R54" s="755"/>
    </row>
    <row r="55" spans="2:18" hidden="1" x14ac:dyDescent="0.25">
      <c r="B55" s="750"/>
      <c r="C55" s="752" t="e">
        <f>'FORMATO PROPUESTA ECONÓMICA'!#REF!</f>
        <v>#REF!</v>
      </c>
      <c r="D55" s="756"/>
      <c r="E55" s="634">
        <f>'FORMATO PROPUESTA ECONÓMICA'!A53</f>
        <v>6.21</v>
      </c>
      <c r="F55" s="633" t="s">
        <v>395</v>
      </c>
      <c r="G55" s="628" t="s">
        <v>79</v>
      </c>
      <c r="H55" s="629"/>
      <c r="I55" s="630"/>
      <c r="J55" s="631"/>
      <c r="K55" s="630"/>
      <c r="L55" s="630"/>
      <c r="M55" s="630"/>
      <c r="N55" s="849"/>
      <c r="O55" s="623">
        <f>'FORMATO PROPUESTA ECONÓMICA'!E53</f>
        <v>0</v>
      </c>
      <c r="P55" s="629">
        <f t="shared" si="2"/>
        <v>0</v>
      </c>
      <c r="Q55" s="755"/>
      <c r="R55" s="755"/>
    </row>
    <row r="56" spans="2:18" hidden="1" x14ac:dyDescent="0.25">
      <c r="B56" s="750"/>
      <c r="C56" s="752" t="e">
        <f>'FORMATO PROPUESTA ECONÓMICA'!#REF!</f>
        <v>#REF!</v>
      </c>
      <c r="D56" s="756"/>
      <c r="E56" s="634">
        <f>'FORMATO PROPUESTA ECONÓMICA'!A54</f>
        <v>6.22</v>
      </c>
      <c r="F56" s="633" t="s">
        <v>396</v>
      </c>
      <c r="G56" s="628" t="s">
        <v>79</v>
      </c>
      <c r="H56" s="629"/>
      <c r="I56" s="630"/>
      <c r="J56" s="631"/>
      <c r="K56" s="630"/>
      <c r="L56" s="630"/>
      <c r="M56" s="630"/>
      <c r="N56" s="849"/>
      <c r="O56" s="623">
        <f>'FORMATO PROPUESTA ECONÓMICA'!E54</f>
        <v>0</v>
      </c>
      <c r="P56" s="629">
        <f t="shared" si="2"/>
        <v>0</v>
      </c>
      <c r="Q56" s="755"/>
      <c r="R56" s="755"/>
    </row>
    <row r="57" spans="2:18" hidden="1" x14ac:dyDescent="0.25">
      <c r="B57" s="750"/>
      <c r="C57" s="752" t="e">
        <f>'FORMATO PROPUESTA ECONÓMICA'!#REF!</f>
        <v>#REF!</v>
      </c>
      <c r="D57" s="756"/>
      <c r="E57" s="634">
        <f>'FORMATO PROPUESTA ECONÓMICA'!A55</f>
        <v>6.23</v>
      </c>
      <c r="F57" s="633" t="s">
        <v>397</v>
      </c>
      <c r="G57" s="628" t="s">
        <v>79</v>
      </c>
      <c r="H57" s="629"/>
      <c r="I57" s="630"/>
      <c r="J57" s="631"/>
      <c r="K57" s="630"/>
      <c r="L57" s="630"/>
      <c r="M57" s="630"/>
      <c r="N57" s="849"/>
      <c r="O57" s="623">
        <f>'FORMATO PROPUESTA ECONÓMICA'!E55</f>
        <v>0</v>
      </c>
      <c r="P57" s="629">
        <f t="shared" si="2"/>
        <v>0</v>
      </c>
      <c r="Q57" s="755"/>
      <c r="R57" s="755"/>
    </row>
    <row r="58" spans="2:18" x14ac:dyDescent="0.25">
      <c r="B58" s="750"/>
      <c r="C58" s="752" t="e">
        <f>'FORMATO PROPUESTA ECONÓMICA'!#REF!</f>
        <v>#REF!</v>
      </c>
      <c r="D58" s="756"/>
      <c r="E58" s="634">
        <f>'FORMATO PROPUESTA ECONÓMICA'!A56</f>
        <v>6.24</v>
      </c>
      <c r="F58" s="633" t="s">
        <v>398</v>
      </c>
      <c r="G58" s="628" t="s">
        <v>79</v>
      </c>
      <c r="H58" s="629"/>
      <c r="I58" s="630"/>
      <c r="J58" s="631"/>
      <c r="K58" s="630"/>
      <c r="L58" s="630"/>
      <c r="M58" s="630"/>
      <c r="N58" s="849">
        <f>N87</f>
        <v>12</v>
      </c>
      <c r="O58" s="623">
        <f>'FORMATO PROPUESTA ECONÓMICA'!E56</f>
        <v>0</v>
      </c>
      <c r="P58" s="629">
        <f t="shared" si="2"/>
        <v>0</v>
      </c>
      <c r="Q58" s="755"/>
      <c r="R58" s="755"/>
    </row>
    <row r="59" spans="2:18" hidden="1" x14ac:dyDescent="0.25">
      <c r="B59" s="750"/>
      <c r="C59" s="752" t="e">
        <f>'FORMATO PROPUESTA ECONÓMICA'!#REF!</f>
        <v>#REF!</v>
      </c>
      <c r="D59" s="756"/>
      <c r="E59" s="634">
        <f>'FORMATO PROPUESTA ECONÓMICA'!A57</f>
        <v>6.25</v>
      </c>
      <c r="F59" s="633" t="s">
        <v>399</v>
      </c>
      <c r="G59" s="628" t="s">
        <v>79</v>
      </c>
      <c r="H59" s="629"/>
      <c r="I59" s="630"/>
      <c r="J59" s="631"/>
      <c r="K59" s="630"/>
      <c r="L59" s="630"/>
      <c r="M59" s="630"/>
      <c r="N59" s="849"/>
      <c r="O59" s="623">
        <f>'FORMATO PROPUESTA ECONÓMICA'!E57</f>
        <v>0</v>
      </c>
      <c r="P59" s="629">
        <f t="shared" si="2"/>
        <v>0</v>
      </c>
      <c r="Q59" s="755"/>
      <c r="R59" s="755"/>
    </row>
    <row r="60" spans="2:18" hidden="1" x14ac:dyDescent="0.25">
      <c r="B60" s="750"/>
      <c r="C60" s="752" t="e">
        <f>'FORMATO PROPUESTA ECONÓMICA'!#REF!</f>
        <v>#REF!</v>
      </c>
      <c r="D60" s="756"/>
      <c r="E60" s="634">
        <f>'FORMATO PROPUESTA ECONÓMICA'!A58</f>
        <v>6.26</v>
      </c>
      <c r="F60" s="633" t="s">
        <v>400</v>
      </c>
      <c r="G60" s="628" t="s">
        <v>79</v>
      </c>
      <c r="H60" s="629"/>
      <c r="I60" s="630"/>
      <c r="J60" s="631"/>
      <c r="K60" s="630"/>
      <c r="L60" s="630"/>
      <c r="M60" s="630"/>
      <c r="N60" s="849"/>
      <c r="O60" s="623">
        <f>'FORMATO PROPUESTA ECONÓMICA'!E58</f>
        <v>0</v>
      </c>
      <c r="P60" s="629">
        <f t="shared" si="2"/>
        <v>0</v>
      </c>
      <c r="Q60" s="755"/>
      <c r="R60" s="755"/>
    </row>
    <row r="61" spans="2:18" hidden="1" x14ac:dyDescent="0.25">
      <c r="B61" s="750"/>
      <c r="C61" s="752" t="e">
        <f>'FORMATO PROPUESTA ECONÓMICA'!#REF!</f>
        <v>#REF!</v>
      </c>
      <c r="D61" s="756"/>
      <c r="E61" s="634">
        <f>'FORMATO PROPUESTA ECONÓMICA'!A59</f>
        <v>6.27</v>
      </c>
      <c r="F61" s="633" t="s">
        <v>401</v>
      </c>
      <c r="G61" s="628" t="s">
        <v>79</v>
      </c>
      <c r="H61" s="629"/>
      <c r="I61" s="630"/>
      <c r="J61" s="631"/>
      <c r="K61" s="630"/>
      <c r="L61" s="630"/>
      <c r="M61" s="630"/>
      <c r="N61" s="847"/>
      <c r="O61" s="623">
        <f>'FORMATO PROPUESTA ECONÓMICA'!E59</f>
        <v>0</v>
      </c>
      <c r="P61" s="629">
        <f t="shared" si="2"/>
        <v>0</v>
      </c>
      <c r="Q61" s="755"/>
      <c r="R61" s="755"/>
    </row>
    <row r="62" spans="2:18" ht="30" x14ac:dyDescent="0.25">
      <c r="B62" s="750"/>
      <c r="C62" s="752" t="e">
        <f>'FORMATO PROPUESTA ECONÓMICA'!#REF!</f>
        <v>#REF!</v>
      </c>
      <c r="D62" s="756"/>
      <c r="E62" s="634">
        <f>'FORMATO PROPUESTA ECONÓMICA'!A60</f>
        <v>6.28</v>
      </c>
      <c r="F62" s="633" t="s">
        <v>80</v>
      </c>
      <c r="G62" s="628" t="s">
        <v>79</v>
      </c>
      <c r="H62" s="629"/>
      <c r="I62" s="630"/>
      <c r="J62" s="631"/>
      <c r="K62" s="630"/>
      <c r="L62" s="630"/>
      <c r="M62" s="630"/>
      <c r="N62" s="847">
        <v>1</v>
      </c>
      <c r="O62" s="623">
        <f>'FORMATO PROPUESTA ECONÓMICA'!E60</f>
        <v>0</v>
      </c>
      <c r="P62" s="629">
        <f t="shared" si="2"/>
        <v>0</v>
      </c>
      <c r="Q62" s="755"/>
      <c r="R62" s="755"/>
    </row>
    <row r="63" spans="2:18" ht="30" hidden="1" x14ac:dyDescent="0.25">
      <c r="B63" s="750"/>
      <c r="C63" s="752" t="e">
        <f>'FORMATO PROPUESTA ECONÓMICA'!#REF!</f>
        <v>#REF!</v>
      </c>
      <c r="D63" s="756"/>
      <c r="E63" s="634">
        <f>'FORMATO PROPUESTA ECONÓMICA'!A61</f>
        <v>6.29</v>
      </c>
      <c r="F63" s="633" t="s">
        <v>81</v>
      </c>
      <c r="G63" s="628" t="s">
        <v>79</v>
      </c>
      <c r="H63" s="629"/>
      <c r="I63" s="630"/>
      <c r="J63" s="631"/>
      <c r="K63" s="630"/>
      <c r="L63" s="630"/>
      <c r="M63" s="630"/>
      <c r="N63" s="847"/>
      <c r="O63" s="623">
        <f>'FORMATO PROPUESTA ECONÓMICA'!E61</f>
        <v>0</v>
      </c>
      <c r="P63" s="629">
        <f t="shared" si="2"/>
        <v>0</v>
      </c>
      <c r="Q63" s="755"/>
      <c r="R63" s="755"/>
    </row>
    <row r="64" spans="2:18" ht="30" x14ac:dyDescent="0.25">
      <c r="B64" s="750" t="str">
        <f>+'[3]1. Colector Principal'!C40</f>
        <v>Suministro, transporte y colocación de entresuelo para cimentaciones y apoyo de tubería:</v>
      </c>
      <c r="C64" s="841" t="e">
        <f>'FORMATO PROPUESTA ECONÓMICA'!#REF!</f>
        <v>#REF!</v>
      </c>
      <c r="D64" s="758"/>
      <c r="E64" s="732">
        <f>'FORMATO PROPUESTA ECONÓMICA'!A62</f>
        <v>7</v>
      </c>
      <c r="F64" s="43" t="s">
        <v>82</v>
      </c>
      <c r="G64" s="44"/>
      <c r="H64" s="39">
        <f>IF(ISERROR(VLOOKUP($D64,[4]Ppto!$A$3:$F$100,4,)),0,VLOOKUP($D64,[4]Ppto!$A$3:$F$100,4,))</f>
        <v>0</v>
      </c>
      <c r="I64" s="40">
        <f>IF(ISERROR(VLOOKUP($D64,[4]Ppto!$A$3:$F$100,5,)),0,VLOOKUP($D64,[4]Ppto!$A$3:$F$100,5,))</f>
        <v>0</v>
      </c>
      <c r="J64" s="41">
        <v>1</v>
      </c>
      <c r="K64" s="40">
        <f>+I64-O64</f>
        <v>0</v>
      </c>
      <c r="L64" s="40">
        <f t="shared" si="0"/>
        <v>0</v>
      </c>
      <c r="M64" s="40">
        <f>+L64-P64</f>
        <v>0</v>
      </c>
      <c r="N64" s="848"/>
      <c r="O64" s="803"/>
      <c r="P64" s="39"/>
      <c r="Q64" s="755"/>
      <c r="R64" s="755"/>
    </row>
    <row r="65" spans="2:19" ht="30" x14ac:dyDescent="0.25">
      <c r="B65" s="750" t="str">
        <f>+'[3]1. Colector Principal'!C41</f>
        <v>S.T.I Lleno con triturado 3/4" (19mm) y 1" (25mm)</v>
      </c>
      <c r="C65" s="752" t="e">
        <f>'FORMATO PROPUESTA ECONÓMICA'!#REF!</f>
        <v>#REF!</v>
      </c>
      <c r="D65" s="756"/>
      <c r="E65" s="634">
        <f>'FORMATO PROPUESTA ECONÓMICA'!A63</f>
        <v>7.1</v>
      </c>
      <c r="F65" s="633" t="s">
        <v>402</v>
      </c>
      <c r="G65" s="628" t="s">
        <v>59</v>
      </c>
      <c r="H65" s="629">
        <f>IF(ISERROR(VLOOKUP($D65,[4]Ppto!$A$3:$F$100,4,)),0,VLOOKUP($D65,[4]Ppto!$A$3:$F$100,4,))</f>
        <v>0</v>
      </c>
      <c r="I65" s="630">
        <f>IF(ISERROR(VLOOKUP($D65,[4]Ppto!$A$3:$F$100,5,)),0,VLOOKUP($D65,[4]Ppto!$A$3:$F$100,5,))</f>
        <v>0</v>
      </c>
      <c r="J65" s="631">
        <v>1.0000004147351824</v>
      </c>
      <c r="K65" s="630">
        <f>+I65-O65</f>
        <v>0</v>
      </c>
      <c r="L65" s="630">
        <f t="shared" si="0"/>
        <v>0</v>
      </c>
      <c r="M65" s="630">
        <f>+L65-P65</f>
        <v>0</v>
      </c>
      <c r="N65" s="853">
        <f>140*6</f>
        <v>840</v>
      </c>
      <c r="O65" s="623">
        <f>'FORMATO PROPUESTA ECONÓMICA'!E63</f>
        <v>0</v>
      </c>
      <c r="P65" s="629">
        <f t="shared" ref="P65:P79" si="3">IF(ISERROR(+N65*O65),"",+N65*O65)</f>
        <v>0</v>
      </c>
      <c r="Q65" s="755"/>
      <c r="R65" s="755"/>
    </row>
    <row r="66" spans="2:19" ht="30" hidden="1" x14ac:dyDescent="0.25">
      <c r="B66" s="750" t="str">
        <f>+'[3]1. Colector Principal'!C42</f>
        <v>S.T.I Lleno con arenilla 3/4" (19mm) y 1" (25mm)</v>
      </c>
      <c r="C66" s="752" t="e">
        <f>'FORMATO PROPUESTA ECONÓMICA'!#REF!</f>
        <v>#REF!</v>
      </c>
      <c r="D66" s="756"/>
      <c r="E66" s="634">
        <f>'FORMATO PROPUESTA ECONÓMICA'!A64</f>
        <v>7.2</v>
      </c>
      <c r="F66" s="633" t="s">
        <v>403</v>
      </c>
      <c r="G66" s="628" t="s">
        <v>59</v>
      </c>
      <c r="H66" s="629">
        <f>IF(ISERROR(VLOOKUP($D66,[4]Ppto!$A$3:$F$100,4,)),0,VLOOKUP($D66,[4]Ppto!$A$3:$F$100,4,))</f>
        <v>0</v>
      </c>
      <c r="I66" s="630">
        <f>IF(ISERROR(VLOOKUP($D66,[4]Ppto!$A$3:$F$100,5,)),0,VLOOKUP($D66,[4]Ppto!$A$3:$F$100,5,))</f>
        <v>0</v>
      </c>
      <c r="J66" s="631">
        <v>0.99999988060184275</v>
      </c>
      <c r="K66" s="630">
        <f>+I66-O66</f>
        <v>0</v>
      </c>
      <c r="L66" s="630">
        <f t="shared" si="0"/>
        <v>0</v>
      </c>
      <c r="M66" s="630">
        <f>+L66-P66</f>
        <v>0</v>
      </c>
      <c r="N66" s="853"/>
      <c r="O66" s="623">
        <f>'FORMATO PROPUESTA ECONÓMICA'!E64</f>
        <v>0</v>
      </c>
      <c r="P66" s="629">
        <f t="shared" si="3"/>
        <v>0</v>
      </c>
      <c r="Q66" s="755"/>
      <c r="R66" s="755"/>
    </row>
    <row r="67" spans="2:19" hidden="1" x14ac:dyDescent="0.25">
      <c r="B67" s="750"/>
      <c r="C67" s="752" t="e">
        <f>'FORMATO PROPUESTA ECONÓMICA'!#REF!</f>
        <v>#REF!</v>
      </c>
      <c r="D67" s="756"/>
      <c r="E67" s="634">
        <f>'FORMATO PROPUESTA ECONÓMICA'!A65</f>
        <v>7.3</v>
      </c>
      <c r="F67" s="633" t="s">
        <v>424</v>
      </c>
      <c r="G67" s="628" t="s">
        <v>79</v>
      </c>
      <c r="H67" s="629"/>
      <c r="I67" s="630"/>
      <c r="J67" s="631"/>
      <c r="K67" s="630"/>
      <c r="L67" s="630"/>
      <c r="M67" s="630"/>
      <c r="N67" s="853"/>
      <c r="O67" s="623">
        <f>'FORMATO PROPUESTA ECONÓMICA'!E65</f>
        <v>0</v>
      </c>
      <c r="P67" s="629">
        <f t="shared" si="3"/>
        <v>0</v>
      </c>
      <c r="Q67" s="755"/>
      <c r="R67" s="755"/>
    </row>
    <row r="68" spans="2:19" hidden="1" x14ac:dyDescent="0.25">
      <c r="B68" s="750"/>
      <c r="C68" s="752" t="e">
        <f>'FORMATO PROPUESTA ECONÓMICA'!#REF!</f>
        <v>#REF!</v>
      </c>
      <c r="D68" s="756"/>
      <c r="E68" s="634">
        <f>'FORMATO PROPUESTA ECONÓMICA'!A66</f>
        <v>7.4</v>
      </c>
      <c r="F68" s="633" t="s">
        <v>426</v>
      </c>
      <c r="G68" s="628" t="s">
        <v>79</v>
      </c>
      <c r="H68" s="629"/>
      <c r="I68" s="630"/>
      <c r="J68" s="631"/>
      <c r="K68" s="630"/>
      <c r="L68" s="630"/>
      <c r="M68" s="630"/>
      <c r="N68" s="853"/>
      <c r="O68" s="623">
        <f>'FORMATO PROPUESTA ECONÓMICA'!E66</f>
        <v>0</v>
      </c>
      <c r="P68" s="629">
        <f t="shared" si="3"/>
        <v>0</v>
      </c>
      <c r="Q68" s="755"/>
      <c r="R68" s="755"/>
    </row>
    <row r="69" spans="2:19" x14ac:dyDescent="0.25">
      <c r="B69" s="750"/>
      <c r="C69" s="752" t="e">
        <f>'FORMATO PROPUESTA ECONÓMICA'!#REF!</f>
        <v>#REF!</v>
      </c>
      <c r="D69" s="756"/>
      <c r="E69" s="634">
        <f>'FORMATO PROPUESTA ECONÓMICA'!A67</f>
        <v>7.5</v>
      </c>
      <c r="F69" s="633" t="s">
        <v>425</v>
      </c>
      <c r="G69" s="628" t="s">
        <v>79</v>
      </c>
      <c r="H69" s="629"/>
      <c r="I69" s="630"/>
      <c r="J69" s="631"/>
      <c r="K69" s="630"/>
      <c r="L69" s="630"/>
      <c r="M69" s="630"/>
      <c r="N69" s="853">
        <v>140</v>
      </c>
      <c r="O69" s="623">
        <f>'FORMATO PROPUESTA ECONÓMICA'!E67</f>
        <v>0</v>
      </c>
      <c r="P69" s="629">
        <f t="shared" si="3"/>
        <v>0</v>
      </c>
      <c r="Q69" s="755"/>
      <c r="R69" s="755"/>
    </row>
    <row r="70" spans="2:19" hidden="1" x14ac:dyDescent="0.25">
      <c r="B70" s="750"/>
      <c r="C70" s="752" t="e">
        <f>'FORMATO PROPUESTA ECONÓMICA'!#REF!</f>
        <v>#REF!</v>
      </c>
      <c r="D70" s="756"/>
      <c r="E70" s="634">
        <f>'FORMATO PROPUESTA ECONÓMICA'!A68</f>
        <v>7.6</v>
      </c>
      <c r="F70" s="633" t="s">
        <v>427</v>
      </c>
      <c r="G70" s="628" t="s">
        <v>79</v>
      </c>
      <c r="H70" s="629"/>
      <c r="I70" s="630"/>
      <c r="J70" s="631"/>
      <c r="K70" s="630"/>
      <c r="L70" s="630"/>
      <c r="M70" s="630"/>
      <c r="N70" s="853"/>
      <c r="O70" s="623">
        <f>'FORMATO PROPUESTA ECONÓMICA'!E68</f>
        <v>0</v>
      </c>
      <c r="P70" s="629">
        <f t="shared" si="3"/>
        <v>0</v>
      </c>
      <c r="Q70" s="755"/>
      <c r="R70" s="755"/>
    </row>
    <row r="71" spans="2:19" hidden="1" x14ac:dyDescent="0.25">
      <c r="B71" s="750"/>
      <c r="C71" s="752" t="e">
        <f>'FORMATO PROPUESTA ECONÓMICA'!#REF!</f>
        <v>#REF!</v>
      </c>
      <c r="D71" s="756"/>
      <c r="E71" s="634">
        <f>'FORMATO PROPUESTA ECONÓMICA'!A69</f>
        <v>7.7</v>
      </c>
      <c r="F71" s="633" t="s">
        <v>429</v>
      </c>
      <c r="G71" s="628" t="s">
        <v>79</v>
      </c>
      <c r="H71" s="629"/>
      <c r="I71" s="630"/>
      <c r="J71" s="631"/>
      <c r="K71" s="630"/>
      <c r="L71" s="630"/>
      <c r="M71" s="630"/>
      <c r="N71" s="853"/>
      <c r="O71" s="623">
        <f>'FORMATO PROPUESTA ECONÓMICA'!E69</f>
        <v>0</v>
      </c>
      <c r="P71" s="629">
        <f t="shared" si="3"/>
        <v>0</v>
      </c>
      <c r="Q71" s="755"/>
      <c r="R71" s="755"/>
    </row>
    <row r="72" spans="2:19" x14ac:dyDescent="0.25">
      <c r="B72" s="750"/>
      <c r="C72" s="752" t="e">
        <f>'FORMATO PROPUESTA ECONÓMICA'!#REF!</f>
        <v>#REF!</v>
      </c>
      <c r="D72" s="756"/>
      <c r="E72" s="634">
        <f>'FORMATO PROPUESTA ECONÓMICA'!A70</f>
        <v>7.8</v>
      </c>
      <c r="F72" s="633" t="s">
        <v>342</v>
      </c>
      <c r="G72" s="628" t="s">
        <v>79</v>
      </c>
      <c r="H72" s="629"/>
      <c r="I72" s="630"/>
      <c r="J72" s="631"/>
      <c r="K72" s="630"/>
      <c r="L72" s="630"/>
      <c r="M72" s="630"/>
      <c r="N72" s="854">
        <f>N69</f>
        <v>140</v>
      </c>
      <c r="O72" s="623">
        <f>'FORMATO PROPUESTA ECONÓMICA'!E70</f>
        <v>0</v>
      </c>
      <c r="P72" s="629">
        <f t="shared" si="3"/>
        <v>0</v>
      </c>
      <c r="Q72" s="755"/>
      <c r="R72" s="755"/>
    </row>
    <row r="73" spans="2:19" hidden="1" x14ac:dyDescent="0.25">
      <c r="B73" s="750" t="str">
        <f>+'[3]1. Colector Principal'!C43</f>
        <v>Corte, rotura y retiro de pavimento:</v>
      </c>
      <c r="C73" s="752" t="e">
        <f>'FORMATO PROPUESTA ECONÓMICA'!#REF!</f>
        <v>#REF!</v>
      </c>
      <c r="D73" s="756"/>
      <c r="E73" s="634">
        <f>'FORMATO PROPUESTA ECONÓMICA'!A71</f>
        <v>7.9</v>
      </c>
      <c r="F73" s="633" t="s">
        <v>343</v>
      </c>
      <c r="G73" s="628" t="s">
        <v>79</v>
      </c>
      <c r="H73" s="629">
        <f>IF(ISERROR(VLOOKUP($D73,[4]Ppto!$A$3:$F$100,4,)),0,VLOOKUP($D73,[4]Ppto!$A$3:$F$100,4,))</f>
        <v>0</v>
      </c>
      <c r="I73" s="630">
        <f>IF(ISERROR(VLOOKUP($D73,[4]Ppto!$A$3:$F$100,5,)),0,VLOOKUP($D73,[4]Ppto!$A$3:$F$100,5,))</f>
        <v>0</v>
      </c>
      <c r="J73" s="631">
        <v>1</v>
      </c>
      <c r="K73" s="630">
        <f t="shared" ref="K73:K79" si="4">+I73-O73</f>
        <v>0</v>
      </c>
      <c r="L73" s="630">
        <f t="shared" si="0"/>
        <v>0</v>
      </c>
      <c r="M73" s="630">
        <f t="shared" ref="M73:M79" si="5">+L73-P73</f>
        <v>0</v>
      </c>
      <c r="N73" s="854"/>
      <c r="O73" s="623">
        <f>'FORMATO PROPUESTA ECONÓMICA'!E71</f>
        <v>0</v>
      </c>
      <c r="P73" s="629">
        <f t="shared" si="3"/>
        <v>0</v>
      </c>
      <c r="Q73" s="755"/>
      <c r="R73" s="755"/>
    </row>
    <row r="74" spans="2:19" x14ac:dyDescent="0.25">
      <c r="B74" s="750" t="str">
        <f>+'[3]1. Colector Principal'!C44</f>
        <v>Corte, rotura y retiro de pavimento rigido</v>
      </c>
      <c r="C74" s="752" t="e">
        <f>'FORMATO PROPUESTA ECONÓMICA'!#REF!</f>
        <v>#REF!</v>
      </c>
      <c r="D74" s="756"/>
      <c r="E74" s="634">
        <f>'FORMATO PROPUESTA ECONÓMICA'!A72</f>
        <v>7.1</v>
      </c>
      <c r="F74" s="633" t="s">
        <v>344</v>
      </c>
      <c r="G74" s="628" t="s">
        <v>79</v>
      </c>
      <c r="H74" s="629">
        <f>IF(ISERROR(VLOOKUP($D74,[4]Ppto!$A$3:$F$100,4,)),0,VLOOKUP($D74,[4]Ppto!$A$3:$F$100,4,))</f>
        <v>0</v>
      </c>
      <c r="I74" s="630">
        <f>IF(ISERROR(VLOOKUP($D74,[4]Ppto!$A$3:$F$100,5,)),0,VLOOKUP($D74,[4]Ppto!$A$3:$F$100,5,))</f>
        <v>0</v>
      </c>
      <c r="J74" s="631">
        <v>1.0000039227956519</v>
      </c>
      <c r="K74" s="630">
        <f t="shared" si="4"/>
        <v>0</v>
      </c>
      <c r="L74" s="630">
        <f t="shared" si="0"/>
        <v>0</v>
      </c>
      <c r="M74" s="630">
        <f t="shared" si="5"/>
        <v>0</v>
      </c>
      <c r="N74" s="854">
        <v>25</v>
      </c>
      <c r="O74" s="623">
        <f>'FORMATO PROPUESTA ECONÓMICA'!E72</f>
        <v>0</v>
      </c>
      <c r="P74" s="629">
        <f t="shared" si="3"/>
        <v>0</v>
      </c>
      <c r="Q74" s="755"/>
      <c r="R74" s="755"/>
    </row>
    <row r="75" spans="2:19" x14ac:dyDescent="0.25">
      <c r="B75" s="750" t="str">
        <f>+'[3]1. Colector Principal'!C45</f>
        <v xml:space="preserve">Corte, rotura y retiro de pavimento flexible </v>
      </c>
      <c r="C75" s="752" t="e">
        <f>'FORMATO PROPUESTA ECONÓMICA'!#REF!</f>
        <v>#REF!</v>
      </c>
      <c r="D75" s="756"/>
      <c r="E75" s="634">
        <f>'FORMATO PROPUESTA ECONÓMICA'!A73</f>
        <v>7.11</v>
      </c>
      <c r="F75" s="633" t="s">
        <v>345</v>
      </c>
      <c r="G75" s="628" t="s">
        <v>79</v>
      </c>
      <c r="H75" s="629">
        <f>IF(ISERROR(VLOOKUP($D75,[4]Ppto!$A$3:$F$100,4,)),0,VLOOKUP($D75,[4]Ppto!$A$3:$F$100,4,))</f>
        <v>0</v>
      </c>
      <c r="I75" s="630">
        <f>IF(ISERROR(VLOOKUP($D75,[4]Ppto!$A$3:$F$100,5,)),0,VLOOKUP($D75,[4]Ppto!$A$3:$F$100,5,))</f>
        <v>0</v>
      </c>
      <c r="J75" s="631">
        <v>0.99999968892509594</v>
      </c>
      <c r="K75" s="630">
        <f t="shared" si="4"/>
        <v>0</v>
      </c>
      <c r="L75" s="630">
        <f t="shared" si="0"/>
        <v>0</v>
      </c>
      <c r="M75" s="630">
        <f t="shared" si="5"/>
        <v>0</v>
      </c>
      <c r="N75" s="854">
        <f>N76</f>
        <v>84</v>
      </c>
      <c r="O75" s="623">
        <f>'FORMATO PROPUESTA ECONÓMICA'!E73</f>
        <v>0</v>
      </c>
      <c r="P75" s="629">
        <f t="shared" si="3"/>
        <v>0</v>
      </c>
      <c r="Q75" s="755"/>
      <c r="R75" s="755"/>
    </row>
    <row r="76" spans="2:19" ht="90" x14ac:dyDescent="0.25">
      <c r="C76" s="752" t="e">
        <f>'FORMATO PROPUESTA ECONÓMICA'!#REF!</f>
        <v>#REF!</v>
      </c>
      <c r="D76" s="756"/>
      <c r="E76" s="634">
        <f>'FORMATO PROPUESTA ECONÓMICA'!A74</f>
        <v>7.12</v>
      </c>
      <c r="F76" s="633" t="s">
        <v>462</v>
      </c>
      <c r="G76" s="622" t="s">
        <v>79</v>
      </c>
      <c r="H76" s="623">
        <f>IF(ISERROR(VLOOKUP($D76,[4]Ppto!$A$3:$F$100,4,)),0,VLOOKUP($D76,[4]Ppto!$A$3:$F$100,4,))</f>
        <v>0</v>
      </c>
      <c r="I76" s="624">
        <f>IF(ISERROR(VLOOKUP($D76,[4]Ppto!$A$3:$F$100,5,)),0,VLOOKUP($D76,[4]Ppto!$A$3:$F$100,5,))</f>
        <v>0</v>
      </c>
      <c r="J76" s="625">
        <v>1</v>
      </c>
      <c r="K76" s="624">
        <f t="shared" si="4"/>
        <v>0</v>
      </c>
      <c r="L76" s="624">
        <f t="shared" si="0"/>
        <v>0</v>
      </c>
      <c r="M76" s="624">
        <f t="shared" si="5"/>
        <v>0</v>
      </c>
      <c r="N76" s="854">
        <f>N72*0.6</f>
        <v>84</v>
      </c>
      <c r="O76" s="623">
        <f>'FORMATO PROPUESTA ECONÓMICA'!E74</f>
        <v>0</v>
      </c>
      <c r="P76" s="623">
        <f t="shared" si="3"/>
        <v>0</v>
      </c>
      <c r="Q76" s="755"/>
      <c r="R76" s="755"/>
      <c r="S76" s="755"/>
    </row>
    <row r="77" spans="2:19" x14ac:dyDescent="0.25">
      <c r="B77" s="750" t="str">
        <f>+'[3]1. Colector Principal'!C47</f>
        <v>Pavimento rigido</v>
      </c>
      <c r="C77" s="752" t="e">
        <f>'FORMATO PROPUESTA ECONÓMICA'!#REF!</f>
        <v>#REF!</v>
      </c>
      <c r="D77" s="756"/>
      <c r="E77" s="634">
        <f>'FORMATO PROPUESTA ECONÓMICA'!A75</f>
        <v>7.13</v>
      </c>
      <c r="F77" s="633" t="s">
        <v>346</v>
      </c>
      <c r="G77" s="628" t="s">
        <v>79</v>
      </c>
      <c r="H77" s="629">
        <f>IF(ISERROR(VLOOKUP($D77,[4]Ppto!$A$3:$F$100,4,)),0,VLOOKUP($D77,[4]Ppto!$A$3:$F$100,4,))</f>
        <v>0</v>
      </c>
      <c r="I77" s="630">
        <f>IF(ISERROR(VLOOKUP($D77,[4]Ppto!$A$3:$F$100,5,)),0,VLOOKUP($D77,[4]Ppto!$A$3:$F$100,5,))</f>
        <v>0</v>
      </c>
      <c r="J77" s="631">
        <v>1</v>
      </c>
      <c r="K77" s="630">
        <f t="shared" si="4"/>
        <v>0</v>
      </c>
      <c r="L77" s="630">
        <f t="shared" si="0"/>
        <v>0</v>
      </c>
      <c r="M77" s="630">
        <f t="shared" si="5"/>
        <v>0</v>
      </c>
      <c r="N77" s="854">
        <f>N76</f>
        <v>84</v>
      </c>
      <c r="O77" s="623">
        <f>'FORMATO PROPUESTA ECONÓMICA'!E75</f>
        <v>0</v>
      </c>
      <c r="P77" s="629">
        <f t="shared" si="3"/>
        <v>0</v>
      </c>
      <c r="Q77" s="755"/>
      <c r="R77" s="755"/>
      <c r="S77" s="755"/>
    </row>
    <row r="78" spans="2:19" x14ac:dyDescent="0.25">
      <c r="B78" s="750" t="str">
        <f>+'[3]1. Colector Principal'!C48</f>
        <v xml:space="preserve">Pavimento flexible </v>
      </c>
      <c r="C78" s="752" t="e">
        <f>'FORMATO PROPUESTA ECONÓMICA'!#REF!</f>
        <v>#REF!</v>
      </c>
      <c r="D78" s="756"/>
      <c r="E78" s="634">
        <f>'FORMATO PROPUESTA ECONÓMICA'!A76</f>
        <v>7.14</v>
      </c>
      <c r="F78" s="633" t="s">
        <v>347</v>
      </c>
      <c r="G78" s="628" t="s">
        <v>79</v>
      </c>
      <c r="H78" s="629">
        <f>IF(ISERROR(VLOOKUP($D78,[4]Ppto!$A$3:$F$100,4,)),0,VLOOKUP($D78,[4]Ppto!$A$3:$F$100,4,))</f>
        <v>0</v>
      </c>
      <c r="I78" s="630">
        <f>IF(ISERROR(VLOOKUP($D78,[4]Ppto!$A$3:$F$100,5,)),0,VLOOKUP($D78,[4]Ppto!$A$3:$F$100,5,))</f>
        <v>0</v>
      </c>
      <c r="J78" s="631">
        <v>0.99995051233937871</v>
      </c>
      <c r="K78" s="630">
        <f t="shared" si="4"/>
        <v>0</v>
      </c>
      <c r="L78" s="630">
        <f t="shared" si="0"/>
        <v>0</v>
      </c>
      <c r="M78" s="630">
        <f t="shared" si="5"/>
        <v>0</v>
      </c>
      <c r="N78" s="854">
        <f>N69</f>
        <v>140</v>
      </c>
      <c r="O78" s="623">
        <f>'FORMATO PROPUESTA ECONÓMICA'!E76</f>
        <v>0</v>
      </c>
      <c r="P78" s="629">
        <f t="shared" si="3"/>
        <v>0</v>
      </c>
      <c r="Q78" s="755"/>
      <c r="R78" s="755"/>
    </row>
    <row r="79" spans="2:19" x14ac:dyDescent="0.25">
      <c r="B79" s="750" t="str">
        <f>+'[3]5.Domiciliarias Colector La Yuq'!C16</f>
        <v>Reparación de andén en concreto</v>
      </c>
      <c r="C79" s="752" t="e">
        <f>'FORMATO PROPUESTA ECONÓMICA'!#REF!</f>
        <v>#REF!</v>
      </c>
      <c r="D79" s="756"/>
      <c r="E79" s="634">
        <f>'FORMATO PROPUESTA ECONÓMICA'!A77</f>
        <v>7.15</v>
      </c>
      <c r="F79" s="633" t="s">
        <v>348</v>
      </c>
      <c r="G79" s="628" t="s">
        <v>79</v>
      </c>
      <c r="H79" s="629">
        <f>IF(ISERROR(VLOOKUP($D79,[4]Ppto!$A$3:$F$100,4,)),0,VLOOKUP($D79,[4]Ppto!$A$3:$F$100,4,))</f>
        <v>0</v>
      </c>
      <c r="I79" s="630">
        <f>IF(ISERROR(VLOOKUP($D79,[4]Ppto!$A$3:$F$100,5,)),0,VLOOKUP($D79,[4]Ppto!$A$3:$F$100,5,))</f>
        <v>0</v>
      </c>
      <c r="J79" s="631">
        <v>1</v>
      </c>
      <c r="K79" s="630">
        <f t="shared" si="4"/>
        <v>0</v>
      </c>
      <c r="L79" s="630">
        <f t="shared" si="0"/>
        <v>0</v>
      </c>
      <c r="M79" s="630">
        <f t="shared" si="5"/>
        <v>0</v>
      </c>
      <c r="N79" s="854">
        <f>N69</f>
        <v>140</v>
      </c>
      <c r="O79" s="623">
        <f>'FORMATO PROPUESTA ECONÓMICA'!E77</f>
        <v>0</v>
      </c>
      <c r="P79" s="629">
        <f t="shared" si="3"/>
        <v>0</v>
      </c>
      <c r="Q79" s="755"/>
      <c r="R79" s="755"/>
    </row>
    <row r="80" spans="2:19" x14ac:dyDescent="0.25">
      <c r="B80" s="750"/>
      <c r="C80" s="841"/>
      <c r="D80" s="758"/>
      <c r="E80" s="732">
        <f>'FORMATO PROPUESTA ECONÓMICA'!A78</f>
        <v>8</v>
      </c>
      <c r="F80" s="770" t="s">
        <v>349</v>
      </c>
      <c r="G80" s="44"/>
      <c r="H80" s="39"/>
      <c r="I80" s="40"/>
      <c r="J80" s="41"/>
      <c r="K80" s="40"/>
      <c r="L80" s="40"/>
      <c r="M80" s="40"/>
      <c r="N80" s="855"/>
      <c r="O80" s="803"/>
      <c r="P80" s="39"/>
      <c r="Q80" s="755"/>
      <c r="R80" s="755"/>
    </row>
    <row r="81" spans="2:19" x14ac:dyDescent="0.25">
      <c r="B81" s="750"/>
      <c r="C81" s="752" t="e">
        <f>'FORMATO PROPUESTA ECONÓMICA'!#REF!</f>
        <v>#REF!</v>
      </c>
      <c r="D81" s="756"/>
      <c r="E81" s="634">
        <f>'FORMATO PROPUESTA ECONÓMICA'!A79</f>
        <v>8.1</v>
      </c>
      <c r="F81" s="633" t="s">
        <v>83</v>
      </c>
      <c r="G81" s="628" t="s">
        <v>79</v>
      </c>
      <c r="H81" s="629"/>
      <c r="I81" s="630"/>
      <c r="J81" s="631"/>
      <c r="K81" s="630"/>
      <c r="L81" s="630"/>
      <c r="M81" s="630"/>
      <c r="N81" s="856">
        <v>2</v>
      </c>
      <c r="O81" s="623">
        <f>'FORMATO PROPUESTA ECONÓMICA'!E79</f>
        <v>0</v>
      </c>
      <c r="P81" s="629">
        <f t="shared" ref="P81:P99" si="6">IF(ISERROR(+N81*O81),"",+N81*O81)</f>
        <v>0</v>
      </c>
      <c r="Q81" s="755"/>
      <c r="R81" s="755"/>
    </row>
    <row r="82" spans="2:19" hidden="1" x14ac:dyDescent="0.25">
      <c r="B82" s="750"/>
      <c r="C82" s="752" t="e">
        <f>'FORMATO PROPUESTA ECONÓMICA'!#REF!</f>
        <v>#REF!</v>
      </c>
      <c r="D82" s="756"/>
      <c r="E82" s="634">
        <f>'FORMATO PROPUESTA ECONÓMICA'!A80</f>
        <v>8.1999999999999993</v>
      </c>
      <c r="F82" s="633" t="s">
        <v>84</v>
      </c>
      <c r="G82" s="628" t="s">
        <v>79</v>
      </c>
      <c r="H82" s="629"/>
      <c r="I82" s="630"/>
      <c r="J82" s="631"/>
      <c r="K82" s="630"/>
      <c r="L82" s="630"/>
      <c r="M82" s="630"/>
      <c r="N82" s="856"/>
      <c r="O82" s="623">
        <f>'FORMATO PROPUESTA ECONÓMICA'!E80</f>
        <v>0</v>
      </c>
      <c r="P82" s="629">
        <f t="shared" si="6"/>
        <v>0</v>
      </c>
      <c r="Q82" s="755"/>
      <c r="R82" s="755"/>
    </row>
    <row r="83" spans="2:19" hidden="1" x14ac:dyDescent="0.25">
      <c r="B83" s="750"/>
      <c r="C83" s="752" t="e">
        <f>'FORMATO PROPUESTA ECONÓMICA'!#REF!</f>
        <v>#REF!</v>
      </c>
      <c r="D83" s="756"/>
      <c r="E83" s="634">
        <f>'FORMATO PROPUESTA ECONÓMICA'!A81</f>
        <v>8.3000000000000007</v>
      </c>
      <c r="F83" s="633" t="s">
        <v>85</v>
      </c>
      <c r="G83" s="628" t="s">
        <v>79</v>
      </c>
      <c r="H83" s="629"/>
      <c r="I83" s="630"/>
      <c r="J83" s="631"/>
      <c r="K83" s="630"/>
      <c r="L83" s="630"/>
      <c r="M83" s="630"/>
      <c r="N83" s="856"/>
      <c r="O83" s="623">
        <f>'FORMATO PROPUESTA ECONÓMICA'!E81</f>
        <v>0</v>
      </c>
      <c r="P83" s="629">
        <f t="shared" si="6"/>
        <v>0</v>
      </c>
      <c r="Q83" s="755"/>
      <c r="R83" s="755"/>
    </row>
    <row r="84" spans="2:19" hidden="1" x14ac:dyDescent="0.25">
      <c r="B84" s="750"/>
      <c r="C84" s="752" t="e">
        <f>'FORMATO PROPUESTA ECONÓMICA'!#REF!</f>
        <v>#REF!</v>
      </c>
      <c r="D84" s="756"/>
      <c r="E84" s="634">
        <f>'FORMATO PROPUESTA ECONÓMICA'!A82</f>
        <v>8.4</v>
      </c>
      <c r="F84" s="633" t="s">
        <v>86</v>
      </c>
      <c r="G84" s="628" t="s">
        <v>79</v>
      </c>
      <c r="H84" s="629"/>
      <c r="I84" s="630"/>
      <c r="J84" s="631"/>
      <c r="K84" s="630"/>
      <c r="L84" s="630"/>
      <c r="M84" s="630"/>
      <c r="N84" s="856"/>
      <c r="O84" s="623">
        <f>'FORMATO PROPUESTA ECONÓMICA'!E82</f>
        <v>0</v>
      </c>
      <c r="P84" s="629">
        <f t="shared" si="6"/>
        <v>0</v>
      </c>
      <c r="Q84" s="755"/>
      <c r="R84" s="755"/>
    </row>
    <row r="85" spans="2:19" ht="30" x14ac:dyDescent="0.25">
      <c r="B85" s="750"/>
      <c r="C85" s="752" t="e">
        <f>'FORMATO PROPUESTA ECONÓMICA'!#REF!</f>
        <v>#REF!</v>
      </c>
      <c r="D85" s="756"/>
      <c r="E85" s="634">
        <f>'FORMATO PROPUESTA ECONÓMICA'!A83</f>
        <v>8.5</v>
      </c>
      <c r="F85" s="633" t="s">
        <v>519</v>
      </c>
      <c r="G85" s="628" t="s">
        <v>79</v>
      </c>
      <c r="H85" s="629"/>
      <c r="I85" s="630"/>
      <c r="J85" s="631"/>
      <c r="K85" s="630"/>
      <c r="L85" s="630"/>
      <c r="M85" s="630"/>
      <c r="N85" s="857">
        <f>N72*0.6</f>
        <v>84</v>
      </c>
      <c r="O85" s="623">
        <f>'FORMATO PROPUESTA ECONÓMICA'!E83</f>
        <v>0</v>
      </c>
      <c r="P85" s="629">
        <f t="shared" si="6"/>
        <v>0</v>
      </c>
      <c r="Q85" s="755"/>
      <c r="R85" s="755"/>
    </row>
    <row r="86" spans="2:19" hidden="1" x14ac:dyDescent="0.25">
      <c r="B86" s="750"/>
      <c r="C86" s="752" t="e">
        <f>'FORMATO PROPUESTA ECONÓMICA'!#REF!</f>
        <v>#REF!</v>
      </c>
      <c r="D86" s="756"/>
      <c r="E86" s="634">
        <f>'FORMATO PROPUESTA ECONÓMICA'!A84</f>
        <v>8.6</v>
      </c>
      <c r="F86" s="633" t="s">
        <v>87</v>
      </c>
      <c r="G86" s="628" t="s">
        <v>79</v>
      </c>
      <c r="H86" s="629"/>
      <c r="I86" s="630"/>
      <c r="J86" s="631"/>
      <c r="K86" s="630"/>
      <c r="L86" s="630"/>
      <c r="M86" s="630"/>
      <c r="N86" s="857"/>
      <c r="O86" s="623">
        <f>'FORMATO PROPUESTA ECONÓMICA'!E84</f>
        <v>0</v>
      </c>
      <c r="P86" s="629">
        <f t="shared" si="6"/>
        <v>0</v>
      </c>
      <c r="Q86" s="755"/>
      <c r="R86" s="755"/>
    </row>
    <row r="87" spans="2:19" x14ac:dyDescent="0.25">
      <c r="B87" s="750"/>
      <c r="C87" s="752" t="e">
        <f>'FORMATO PROPUESTA ECONÓMICA'!#REF!</f>
        <v>#REF!</v>
      </c>
      <c r="D87" s="756"/>
      <c r="E87" s="634">
        <f>'FORMATO PROPUESTA ECONÓMICA'!A85</f>
        <v>8.6999999999999993</v>
      </c>
      <c r="F87" s="633" t="s">
        <v>88</v>
      </c>
      <c r="G87" s="628" t="s">
        <v>79</v>
      </c>
      <c r="H87" s="629"/>
      <c r="I87" s="630"/>
      <c r="J87" s="631"/>
      <c r="K87" s="630"/>
      <c r="L87" s="630"/>
      <c r="M87" s="630"/>
      <c r="N87" s="857">
        <f>2*N92</f>
        <v>12</v>
      </c>
      <c r="O87" s="623">
        <f>'FORMATO PROPUESTA ECONÓMICA'!E85</f>
        <v>0</v>
      </c>
      <c r="P87" s="629">
        <f t="shared" si="6"/>
        <v>0</v>
      </c>
      <c r="Q87" s="755"/>
      <c r="R87" s="755"/>
    </row>
    <row r="88" spans="2:19" hidden="1" x14ac:dyDescent="0.25">
      <c r="B88" s="750"/>
      <c r="C88" s="752" t="e">
        <f>'FORMATO PROPUESTA ECONÓMICA'!#REF!</f>
        <v>#REF!</v>
      </c>
      <c r="D88" s="756"/>
      <c r="E88" s="634">
        <f>'FORMATO PROPUESTA ECONÓMICA'!A86</f>
        <v>8.8000000000000007</v>
      </c>
      <c r="F88" s="633" t="s">
        <v>89</v>
      </c>
      <c r="G88" s="628" t="s">
        <v>79</v>
      </c>
      <c r="H88" s="629"/>
      <c r="I88" s="630"/>
      <c r="J88" s="631"/>
      <c r="K88" s="630"/>
      <c r="L88" s="630"/>
      <c r="M88" s="630"/>
      <c r="N88" s="857"/>
      <c r="O88" s="623">
        <f>'FORMATO PROPUESTA ECONÓMICA'!E86</f>
        <v>0</v>
      </c>
      <c r="P88" s="629">
        <f t="shared" si="6"/>
        <v>0</v>
      </c>
      <c r="Q88" s="755"/>
      <c r="R88" s="755"/>
    </row>
    <row r="89" spans="2:19" hidden="1" x14ac:dyDescent="0.25">
      <c r="B89" s="750"/>
      <c r="C89" s="752" t="e">
        <f>'FORMATO PROPUESTA ECONÓMICA'!#REF!</f>
        <v>#REF!</v>
      </c>
      <c r="D89" s="756"/>
      <c r="E89" s="634">
        <f>'FORMATO PROPUESTA ECONÓMICA'!A87</f>
        <v>8.9</v>
      </c>
      <c r="F89" s="633" t="s">
        <v>90</v>
      </c>
      <c r="G89" s="628" t="s">
        <v>79</v>
      </c>
      <c r="H89" s="629"/>
      <c r="I89" s="630"/>
      <c r="J89" s="631"/>
      <c r="K89" s="630"/>
      <c r="L89" s="630"/>
      <c r="M89" s="630"/>
      <c r="N89" s="857"/>
      <c r="O89" s="623">
        <f>'FORMATO PROPUESTA ECONÓMICA'!E87</f>
        <v>0</v>
      </c>
      <c r="P89" s="629">
        <f t="shared" si="6"/>
        <v>0</v>
      </c>
      <c r="Q89" s="755"/>
      <c r="R89" s="755"/>
    </row>
    <row r="90" spans="2:19" hidden="1" x14ac:dyDescent="0.25">
      <c r="B90" s="750"/>
      <c r="C90" s="752" t="e">
        <f>'FORMATO PROPUESTA ECONÓMICA'!#REF!</f>
        <v>#REF!</v>
      </c>
      <c r="D90" s="756"/>
      <c r="E90" s="634">
        <f>'FORMATO PROPUESTA ECONÓMICA'!A88</f>
        <v>8.1</v>
      </c>
      <c r="F90" s="633" t="s">
        <v>91</v>
      </c>
      <c r="G90" s="628" t="s">
        <v>79</v>
      </c>
      <c r="H90" s="629"/>
      <c r="I90" s="630"/>
      <c r="J90" s="631"/>
      <c r="K90" s="630"/>
      <c r="L90" s="630"/>
      <c r="M90" s="630"/>
      <c r="N90" s="857"/>
      <c r="O90" s="623">
        <f>'FORMATO PROPUESTA ECONÓMICA'!E88</f>
        <v>0</v>
      </c>
      <c r="P90" s="629">
        <f t="shared" si="6"/>
        <v>0</v>
      </c>
      <c r="Q90" s="755"/>
      <c r="R90" s="755"/>
    </row>
    <row r="91" spans="2:19" ht="30" hidden="1" x14ac:dyDescent="0.25">
      <c r="B91" s="750"/>
      <c r="C91" s="752" t="e">
        <f>'FORMATO PROPUESTA ECONÓMICA'!#REF!</f>
        <v>#REF!</v>
      </c>
      <c r="D91" s="756"/>
      <c r="E91" s="634">
        <f>'FORMATO PROPUESTA ECONÓMICA'!A89</f>
        <v>8.11</v>
      </c>
      <c r="F91" s="633" t="s">
        <v>92</v>
      </c>
      <c r="G91" s="628" t="s">
        <v>79</v>
      </c>
      <c r="H91" s="629"/>
      <c r="I91" s="630"/>
      <c r="J91" s="631"/>
      <c r="K91" s="630"/>
      <c r="L91" s="630"/>
      <c r="M91" s="630"/>
      <c r="N91" s="857"/>
      <c r="O91" s="623">
        <f>'FORMATO PROPUESTA ECONÓMICA'!E89</f>
        <v>0</v>
      </c>
      <c r="P91" s="629">
        <f t="shared" si="6"/>
        <v>0</v>
      </c>
      <c r="Q91" s="755"/>
      <c r="R91" s="755"/>
    </row>
    <row r="92" spans="2:19" ht="30" x14ac:dyDescent="0.25">
      <c r="B92" s="750"/>
      <c r="C92" s="752" t="e">
        <f>'FORMATO PROPUESTA ECONÓMICA'!#REF!</f>
        <v>#REF!</v>
      </c>
      <c r="D92" s="756"/>
      <c r="E92" s="620">
        <f>'FORMATO PROPUESTA ECONÓMICA'!A90</f>
        <v>8.1199999999999992</v>
      </c>
      <c r="F92" s="633" t="s">
        <v>93</v>
      </c>
      <c r="G92" s="628" t="s">
        <v>79</v>
      </c>
      <c r="H92" s="629"/>
      <c r="I92" s="630"/>
      <c r="J92" s="631"/>
      <c r="K92" s="630"/>
      <c r="L92" s="630"/>
      <c r="M92" s="630"/>
      <c r="N92" s="857">
        <v>6</v>
      </c>
      <c r="O92" s="623">
        <f>'FORMATO PROPUESTA ECONÓMICA'!E90</f>
        <v>0</v>
      </c>
      <c r="P92" s="629">
        <f t="shared" si="6"/>
        <v>0</v>
      </c>
      <c r="Q92" s="755"/>
      <c r="R92" s="755"/>
    </row>
    <row r="93" spans="2:19" ht="30" hidden="1" x14ac:dyDescent="0.25">
      <c r="B93" s="750"/>
      <c r="C93" s="752" t="e">
        <f>'FORMATO PROPUESTA ECONÓMICA'!#REF!</f>
        <v>#REF!</v>
      </c>
      <c r="D93" s="756"/>
      <c r="E93" s="634">
        <f>'FORMATO PROPUESTA ECONÓMICA'!A91</f>
        <v>8.1300000000000008</v>
      </c>
      <c r="F93" s="633" t="s">
        <v>94</v>
      </c>
      <c r="G93" s="628" t="s">
        <v>79</v>
      </c>
      <c r="H93" s="629"/>
      <c r="I93" s="630"/>
      <c r="J93" s="631"/>
      <c r="K93" s="630"/>
      <c r="L93" s="630"/>
      <c r="M93" s="630"/>
      <c r="N93" s="857"/>
      <c r="O93" s="623">
        <f>'FORMATO PROPUESTA ECONÓMICA'!E91</f>
        <v>0</v>
      </c>
      <c r="P93" s="629">
        <f t="shared" si="6"/>
        <v>0</v>
      </c>
      <c r="Q93" s="755"/>
      <c r="R93" s="755"/>
      <c r="S93" s="755"/>
    </row>
    <row r="94" spans="2:19" ht="30" hidden="1" x14ac:dyDescent="0.25">
      <c r="B94" s="750"/>
      <c r="C94" s="752" t="e">
        <f>'FORMATO PROPUESTA ECONÓMICA'!#REF!</f>
        <v>#REF!</v>
      </c>
      <c r="D94" s="756"/>
      <c r="E94" s="634">
        <f>'FORMATO PROPUESTA ECONÓMICA'!A92</f>
        <v>8.14</v>
      </c>
      <c r="F94" s="633" t="s">
        <v>95</v>
      </c>
      <c r="G94" s="628" t="s">
        <v>79</v>
      </c>
      <c r="H94" s="629"/>
      <c r="I94" s="630"/>
      <c r="J94" s="631"/>
      <c r="K94" s="630"/>
      <c r="L94" s="630"/>
      <c r="M94" s="630"/>
      <c r="N94" s="857"/>
      <c r="O94" s="623">
        <f>'FORMATO PROPUESTA ECONÓMICA'!E92</f>
        <v>0</v>
      </c>
      <c r="P94" s="629">
        <f t="shared" si="6"/>
        <v>0</v>
      </c>
      <c r="Q94" s="755"/>
      <c r="R94" s="755"/>
      <c r="S94" s="755"/>
    </row>
    <row r="95" spans="2:19" ht="30" hidden="1" x14ac:dyDescent="0.25">
      <c r="B95" s="750"/>
      <c r="C95" s="752" t="e">
        <f>'FORMATO PROPUESTA ECONÓMICA'!#REF!</f>
        <v>#REF!</v>
      </c>
      <c r="D95" s="756"/>
      <c r="E95" s="634">
        <f>'FORMATO PROPUESTA ECONÓMICA'!A93</f>
        <v>8.15</v>
      </c>
      <c r="F95" s="633" t="s">
        <v>96</v>
      </c>
      <c r="G95" s="628" t="s">
        <v>79</v>
      </c>
      <c r="H95" s="629"/>
      <c r="I95" s="630"/>
      <c r="J95" s="631"/>
      <c r="K95" s="630"/>
      <c r="L95" s="630"/>
      <c r="M95" s="630"/>
      <c r="N95" s="857"/>
      <c r="O95" s="623">
        <f>'FORMATO PROPUESTA ECONÓMICA'!E93</f>
        <v>0</v>
      </c>
      <c r="P95" s="629">
        <f t="shared" si="6"/>
        <v>0</v>
      </c>
      <c r="Q95" s="755"/>
      <c r="R95" s="755"/>
    </row>
    <row r="96" spans="2:19" ht="30" x14ac:dyDescent="0.25">
      <c r="B96" s="750"/>
      <c r="C96" s="752" t="e">
        <f>'FORMATO PROPUESTA ECONÓMICA'!#REF!</f>
        <v>#REF!</v>
      </c>
      <c r="D96" s="756"/>
      <c r="E96" s="620">
        <f>'FORMATO PROPUESTA ECONÓMICA'!A94</f>
        <v>8.16</v>
      </c>
      <c r="F96" s="731" t="s">
        <v>463</v>
      </c>
      <c r="G96" s="628" t="s">
        <v>79</v>
      </c>
      <c r="H96" s="629"/>
      <c r="I96" s="630"/>
      <c r="J96" s="631"/>
      <c r="K96" s="630"/>
      <c r="L96" s="630"/>
      <c r="M96" s="630"/>
      <c r="N96" s="857">
        <v>2</v>
      </c>
      <c r="O96" s="623">
        <f>'FORMATO PROPUESTA ECONÓMICA'!E94</f>
        <v>0</v>
      </c>
      <c r="P96" s="629">
        <f t="shared" si="6"/>
        <v>0</v>
      </c>
      <c r="Q96" s="755"/>
      <c r="R96" s="755"/>
    </row>
    <row r="97" spans="2:19" ht="60" x14ac:dyDescent="0.25">
      <c r="B97" s="750"/>
      <c r="C97" s="841"/>
      <c r="D97" s="758"/>
      <c r="E97" s="732">
        <f>'FORMATO PROPUESTA ECONÓMICA'!A95</f>
        <v>9</v>
      </c>
      <c r="F97" s="770" t="s">
        <v>447</v>
      </c>
      <c r="G97" s="44"/>
      <c r="H97" s="39"/>
      <c r="I97" s="40"/>
      <c r="J97" s="41"/>
      <c r="K97" s="40"/>
      <c r="L97" s="40"/>
      <c r="M97" s="40"/>
      <c r="N97" s="858"/>
      <c r="O97" s="803"/>
      <c r="P97" s="39"/>
      <c r="Q97" s="755"/>
      <c r="R97" s="755"/>
    </row>
    <row r="98" spans="2:19" ht="45" hidden="1" x14ac:dyDescent="0.25">
      <c r="B98" s="750"/>
      <c r="C98" s="752"/>
      <c r="D98" s="756"/>
      <c r="E98" s="634">
        <f>'FORMATO PROPUESTA ECONÓMICA'!A96</f>
        <v>9.1</v>
      </c>
      <c r="F98" s="632" t="s">
        <v>489</v>
      </c>
      <c r="G98" s="719" t="s">
        <v>79</v>
      </c>
      <c r="H98" s="629"/>
      <c r="I98" s="630"/>
      <c r="J98" s="631"/>
      <c r="K98" s="630"/>
      <c r="L98" s="630"/>
      <c r="M98" s="630"/>
      <c r="N98" s="857"/>
      <c r="O98" s="623">
        <f>'FORMATO PROPUESTA ECONÓMICA'!E96</f>
        <v>0</v>
      </c>
      <c r="P98" s="629">
        <f t="shared" si="6"/>
        <v>0</v>
      </c>
      <c r="Q98" s="755"/>
      <c r="R98" s="755"/>
    </row>
    <row r="99" spans="2:19" ht="45" hidden="1" x14ac:dyDescent="0.25">
      <c r="B99" s="750"/>
      <c r="C99" s="752"/>
      <c r="D99" s="756"/>
      <c r="E99" s="634" t="e">
        <f>'FORMATO PROPUESTA ECONÓMICA'!#REF!</f>
        <v>#REF!</v>
      </c>
      <c r="F99" s="632" t="s">
        <v>511</v>
      </c>
      <c r="G99" s="719" t="s">
        <v>79</v>
      </c>
      <c r="H99" s="629"/>
      <c r="I99" s="630"/>
      <c r="J99" s="631"/>
      <c r="K99" s="630"/>
      <c r="L99" s="630"/>
      <c r="M99" s="630"/>
      <c r="N99" s="857"/>
      <c r="O99" s="623" t="e">
        <f>'FORMATO PROPUESTA ECONÓMICA'!#REF!</f>
        <v>#REF!</v>
      </c>
      <c r="P99" s="629" t="str">
        <f t="shared" si="6"/>
        <v/>
      </c>
      <c r="Q99" s="755"/>
      <c r="R99" s="755"/>
    </row>
    <row r="100" spans="2:19" x14ac:dyDescent="0.25">
      <c r="B100" s="750"/>
      <c r="C100" s="841"/>
      <c r="D100" s="758"/>
      <c r="E100" s="732">
        <f>'FORMATO PROPUESTA ECONÓMICA'!A125</f>
        <v>10</v>
      </c>
      <c r="F100" s="770" t="s">
        <v>97</v>
      </c>
      <c r="G100" s="44"/>
      <c r="H100" s="39"/>
      <c r="I100" s="40"/>
      <c r="J100" s="41"/>
      <c r="K100" s="40"/>
      <c r="L100" s="40"/>
      <c r="M100" s="40"/>
      <c r="N100" s="848"/>
      <c r="O100" s="803"/>
      <c r="P100" s="39"/>
      <c r="Q100" s="755"/>
      <c r="R100" s="755"/>
    </row>
    <row r="101" spans="2:19" ht="45" hidden="1" x14ac:dyDescent="0.25">
      <c r="B101" s="750"/>
      <c r="C101" s="842"/>
      <c r="D101" s="775"/>
      <c r="E101" s="634" t="str">
        <f>'FORMATO PROPUESTA ECONÓMICA'!A126</f>
        <v>10.1</v>
      </c>
      <c r="F101" s="838" t="s">
        <v>453</v>
      </c>
      <c r="G101" s="714" t="s">
        <v>79</v>
      </c>
      <c r="H101" s="716"/>
      <c r="I101" s="717"/>
      <c r="J101" s="718"/>
      <c r="K101" s="717"/>
      <c r="L101" s="717"/>
      <c r="M101" s="717"/>
      <c r="N101" s="851"/>
      <c r="O101" s="623">
        <f>'FORMATO PROPUESTA ECONÓMICA'!E126</f>
        <v>0</v>
      </c>
      <c r="P101" s="716"/>
      <c r="Q101" s="755"/>
      <c r="R101" s="755"/>
    </row>
    <row r="102" spans="2:19" ht="60" x14ac:dyDescent="0.25">
      <c r="B102" s="750"/>
      <c r="C102" s="752" t="e">
        <f>'FORMATO PROPUESTA ECONÓMICA'!#REF!</f>
        <v>#REF!</v>
      </c>
      <c r="D102" s="753"/>
      <c r="E102" s="634">
        <f>'FORMATO PROPUESTA ECONÓMICA'!A127</f>
        <v>10.199999999999999</v>
      </c>
      <c r="F102" s="633" t="s">
        <v>444</v>
      </c>
      <c r="G102" s="628" t="s">
        <v>79</v>
      </c>
      <c r="H102" s="629"/>
      <c r="I102" s="630"/>
      <c r="J102" s="631"/>
      <c r="K102" s="630"/>
      <c r="L102" s="630"/>
      <c r="M102" s="630"/>
      <c r="N102" s="851">
        <f>N76</f>
        <v>84</v>
      </c>
      <c r="O102" s="623">
        <f>'FORMATO PROPUESTA ECONÓMICA'!E127</f>
        <v>0</v>
      </c>
      <c r="P102" s="629">
        <f>IF(ISERROR(+N102*O102),"",+N102*O102)</f>
        <v>0</v>
      </c>
      <c r="Q102" s="755"/>
      <c r="R102" s="755"/>
    </row>
    <row r="103" spans="2:19" ht="60" x14ac:dyDescent="0.25">
      <c r="B103" s="750" t="str">
        <f>+'[3]5.Domiciliarias Colector La Yuq'!C18</f>
        <v>Reparación de pavimento</v>
      </c>
      <c r="C103" s="752" t="e">
        <f>'FORMATO PROPUESTA ECONÓMICA'!#REF!</f>
        <v>#REF!</v>
      </c>
      <c r="D103" s="753"/>
      <c r="E103" s="634" t="str">
        <f>'FORMATO PROPUESTA ECONÓMICA'!A128</f>
        <v>10.3</v>
      </c>
      <c r="F103" s="633" t="s">
        <v>98</v>
      </c>
      <c r="G103" s="628" t="s">
        <v>79</v>
      </c>
      <c r="H103" s="629">
        <f>IF(ISERROR(VLOOKUP($D103,[4]Ppto!$A$3:$F$100,4,)),0,VLOOKUP($D103,[4]Ppto!$A$3:$F$100,4,))</f>
        <v>0</v>
      </c>
      <c r="I103" s="630">
        <f>IF(ISERROR(VLOOKUP($D103,[4]Ppto!$A$3:$F$100,5,)),0,VLOOKUP($D103,[4]Ppto!$A$3:$F$100,5,))</f>
        <v>0</v>
      </c>
      <c r="J103" s="631">
        <v>1</v>
      </c>
      <c r="K103" s="630">
        <f t="shared" ref="K103:K110" si="7">+I103-O103</f>
        <v>0</v>
      </c>
      <c r="L103" s="630">
        <f t="shared" si="0"/>
        <v>0</v>
      </c>
      <c r="M103" s="630">
        <f t="shared" ref="M103:M110" si="8">+L103-P103</f>
        <v>0</v>
      </c>
      <c r="N103" s="847">
        <v>4</v>
      </c>
      <c r="O103" s="623">
        <f>'FORMATO PROPUESTA ECONÓMICA'!E128</f>
        <v>0</v>
      </c>
      <c r="P103" s="629">
        <f>IF(ISERROR(+N103*O103),"",+N103*O103)</f>
        <v>0</v>
      </c>
      <c r="Q103" s="755"/>
      <c r="R103" s="755"/>
    </row>
    <row r="104" spans="2:19" x14ac:dyDescent="0.25">
      <c r="B104" s="777" t="str">
        <f>+'[3]5.Domiciliarias Colector La Yuq'!C19</f>
        <v>Construcción de pavimento</v>
      </c>
      <c r="C104" s="752" t="e">
        <f>'FORMATO PROPUESTA ECONÓMICA'!#REF!</f>
        <v>#REF!</v>
      </c>
      <c r="D104" s="753"/>
      <c r="E104" s="634" t="str">
        <f>'FORMATO PROPUESTA ECONÓMICA'!A129</f>
        <v>10.4</v>
      </c>
      <c r="F104" s="633" t="s">
        <v>99</v>
      </c>
      <c r="G104" s="628" t="s">
        <v>59</v>
      </c>
      <c r="H104" s="629">
        <f>IF(ISERROR(VLOOKUP($D104,[4]Ppto!$A$3:$F$100,4,)),0,VLOOKUP($D104,[4]Ppto!$A$3:$F$100,4,))</f>
        <v>0</v>
      </c>
      <c r="I104" s="630">
        <f>IF(ISERROR(VLOOKUP($D104,[4]Ppto!$A$3:$F$100,5,)),0,VLOOKUP($D104,[4]Ppto!$A$3:$F$100,5,))</f>
        <v>0</v>
      </c>
      <c r="J104" s="631">
        <v>1</v>
      </c>
      <c r="K104" s="630">
        <f t="shared" si="7"/>
        <v>0</v>
      </c>
      <c r="L104" s="630">
        <f t="shared" si="0"/>
        <v>0</v>
      </c>
      <c r="M104" s="630">
        <f t="shared" si="8"/>
        <v>0</v>
      </c>
      <c r="N104" s="849">
        <f>+N36</f>
        <v>942.1</v>
      </c>
      <c r="O104" s="623">
        <f>'FORMATO PROPUESTA ECONÓMICA'!E129</f>
        <v>0</v>
      </c>
      <c r="P104" s="629">
        <f>IF(ISERROR(+N104*O104),"",+N104*O104)</f>
        <v>0</v>
      </c>
      <c r="Q104" s="755"/>
      <c r="R104" s="755"/>
    </row>
    <row r="105" spans="2:19" x14ac:dyDescent="0.25">
      <c r="B105" s="777" t="str">
        <f>+'[3]5.Domiciliarias Colector La Yuq'!C20</f>
        <v>Construcción de cajas  0.6x0.6x0.8 m</v>
      </c>
      <c r="C105" s="752" t="e">
        <f>'FORMATO PROPUESTA ECONÓMICA'!#REF!</f>
        <v>#REF!</v>
      </c>
      <c r="D105" s="753"/>
      <c r="E105" s="634">
        <f>'FORMATO PROPUESTA ECONÓMICA'!A130</f>
        <v>10.5</v>
      </c>
      <c r="F105" s="633" t="s">
        <v>100</v>
      </c>
      <c r="G105" s="628" t="s">
        <v>15</v>
      </c>
      <c r="H105" s="629">
        <f>IF(ISERROR(VLOOKUP($D105,[4]Ppto!$A$3:$F$100,4,)),0,VLOOKUP($D105,[4]Ppto!$A$3:$F$100,4,))</f>
        <v>0</v>
      </c>
      <c r="I105" s="630">
        <f>IF(ISERROR(VLOOKUP($D105,[4]Ppto!$A$3:$F$100,5,)),0,VLOOKUP($D105,[4]Ppto!$A$3:$F$100,5,))</f>
        <v>0</v>
      </c>
      <c r="J105" s="631">
        <v>1</v>
      </c>
      <c r="K105" s="630">
        <f t="shared" si="7"/>
        <v>0</v>
      </c>
      <c r="L105" s="630">
        <f t="shared" si="0"/>
        <v>0</v>
      </c>
      <c r="M105" s="630">
        <f t="shared" si="8"/>
        <v>0</v>
      </c>
      <c r="N105" s="859">
        <f>N103*0.4*0.5*0.5</f>
        <v>0.4</v>
      </c>
      <c r="O105" s="623">
        <f>'FORMATO PROPUESTA ECONÓMICA'!E130</f>
        <v>0</v>
      </c>
      <c r="P105" s="629">
        <f>IF(ISERROR(+N105*O105),"",+N105*O105)</f>
        <v>0</v>
      </c>
      <c r="Q105" s="755"/>
      <c r="R105" s="755"/>
    </row>
    <row r="106" spans="2:19" ht="45" hidden="1" x14ac:dyDescent="0.25">
      <c r="B106" s="777" t="str">
        <f>+'[3]5.Domiciliarias Colector La Yuq'!C21</f>
        <v>De empalme en andén o zona verde, para domiciliarias de alcantarillado.  Incluye acabado de la tapa según andén existente</v>
      </c>
      <c r="C106" s="752" t="e">
        <f>'FORMATO PROPUESTA ECONÓMICA'!#REF!</f>
        <v>#REF!</v>
      </c>
      <c r="D106" s="753"/>
      <c r="E106" s="634">
        <f>'FORMATO PROPUESTA ECONÓMICA'!A131</f>
        <v>10.6</v>
      </c>
      <c r="F106" s="633" t="s">
        <v>101</v>
      </c>
      <c r="G106" s="628" t="s">
        <v>352</v>
      </c>
      <c r="H106" s="629">
        <f>IF(ISERROR(VLOOKUP($D106,[4]Ppto!$A$3:$F$100,4,)),0,VLOOKUP($D106,[4]Ppto!$A$3:$F$100,4,))</f>
        <v>0</v>
      </c>
      <c r="I106" s="630">
        <f>IF(ISERROR(VLOOKUP($D106,[4]Ppto!$A$3:$F$100,5,)),0,VLOOKUP($D106,[4]Ppto!$A$3:$F$100,5,))</f>
        <v>0</v>
      </c>
      <c r="J106" s="631">
        <v>1</v>
      </c>
      <c r="K106" s="630">
        <f t="shared" si="7"/>
        <v>0</v>
      </c>
      <c r="L106" s="630">
        <f t="shared" si="0"/>
        <v>0</v>
      </c>
      <c r="M106" s="630">
        <f t="shared" si="8"/>
        <v>0</v>
      </c>
      <c r="N106" s="859"/>
      <c r="O106" s="623">
        <f>'FORMATO PROPUESTA ECONÓMICA'!E131</f>
        <v>0</v>
      </c>
      <c r="P106" s="629">
        <f t="shared" ref="P106:P107" si="9">IF(ISERROR(+N106*O106),"",+N106*O106)</f>
        <v>0</v>
      </c>
      <c r="Q106" s="755"/>
      <c r="R106" s="755"/>
      <c r="S106" s="755"/>
    </row>
    <row r="107" spans="2:19" ht="30" hidden="1" x14ac:dyDescent="0.25">
      <c r="B107" s="777"/>
      <c r="C107" s="752"/>
      <c r="D107" s="753"/>
      <c r="E107" s="634">
        <f>'FORMATO PROPUESTA ECONÓMICA'!A132</f>
        <v>10.7</v>
      </c>
      <c r="F107" s="633" t="s">
        <v>465</v>
      </c>
      <c r="G107" s="628" t="s">
        <v>16</v>
      </c>
      <c r="H107" s="629"/>
      <c r="I107" s="630"/>
      <c r="J107" s="631"/>
      <c r="K107" s="630"/>
      <c r="L107" s="630"/>
      <c r="M107" s="630"/>
      <c r="N107" s="859"/>
      <c r="O107" s="623">
        <f>'FORMATO PROPUESTA ECONÓMICA'!E132</f>
        <v>0</v>
      </c>
      <c r="P107" s="629">
        <f t="shared" si="9"/>
        <v>0</v>
      </c>
      <c r="Q107" s="755"/>
      <c r="R107" s="755"/>
      <c r="S107" s="755"/>
    </row>
    <row r="108" spans="2:19" x14ac:dyDescent="0.25">
      <c r="B108" s="750" t="str">
        <f>+'[3]1. Colector Principal'!C51</f>
        <v>Suministro e Intalación de geotextil para la protección del lleno en la zanja</v>
      </c>
      <c r="C108" s="841" t="e">
        <f>'FORMATO PROPUESTA ECONÓMICA'!#REF!</f>
        <v>#REF!</v>
      </c>
      <c r="D108" s="758"/>
      <c r="E108" s="732">
        <f>'FORMATO PROPUESTA ECONÓMICA'!A133</f>
        <v>11</v>
      </c>
      <c r="F108" s="778" t="s">
        <v>102</v>
      </c>
      <c r="G108" s="779"/>
      <c r="H108" s="39">
        <f>IF(ISERROR(VLOOKUP($D108,[4]Ppto!$A$3:$F$100,4,)),0,VLOOKUP($D108,[4]Ppto!$A$3:$F$100,4,))</f>
        <v>0</v>
      </c>
      <c r="I108" s="40">
        <f>IF(ISERROR(VLOOKUP($D108,[4]Ppto!$A$3:$F$100,5,)),0,VLOOKUP($D108,[4]Ppto!$A$3:$F$100,5,))</f>
        <v>0</v>
      </c>
      <c r="J108" s="41">
        <v>1</v>
      </c>
      <c r="K108" s="40">
        <f t="shared" si="7"/>
        <v>0</v>
      </c>
      <c r="L108" s="40">
        <f t="shared" si="0"/>
        <v>0</v>
      </c>
      <c r="M108" s="40">
        <f t="shared" si="8"/>
        <v>0</v>
      </c>
      <c r="N108" s="848"/>
      <c r="O108" s="803"/>
      <c r="P108" s="39"/>
      <c r="Q108" s="755"/>
      <c r="R108" s="755"/>
      <c r="S108" s="755"/>
    </row>
    <row r="109" spans="2:19" ht="30" hidden="1" x14ac:dyDescent="0.25">
      <c r="B109" s="750" t="str">
        <f>+'[3]1. Colector Principal'!C52</f>
        <v>Geotextil No tejido por cada 100m2</v>
      </c>
      <c r="C109" s="752" t="e">
        <f>'FORMATO PROPUESTA ECONÓMICA'!#REF!</f>
        <v>#REF!</v>
      </c>
      <c r="D109" s="756"/>
      <c r="E109" s="634">
        <f>'FORMATO PROPUESTA ECONÓMICA'!A134</f>
        <v>11.1</v>
      </c>
      <c r="F109" s="633" t="s">
        <v>103</v>
      </c>
      <c r="G109" s="628" t="s">
        <v>15</v>
      </c>
      <c r="H109" s="629">
        <f>IF(ISERROR(VLOOKUP($D109,[4]Ppto!$A$3:$F$100,4,)),0,VLOOKUP($D109,[4]Ppto!$A$3:$F$100,4,))</f>
        <v>0</v>
      </c>
      <c r="I109" s="630">
        <f>IF(ISERROR(VLOOKUP($D109,[4]Ppto!$A$3:$F$100,5,)),0,VLOOKUP($D109,[4]Ppto!$A$3:$F$100,5,))</f>
        <v>0</v>
      </c>
      <c r="J109" s="631">
        <v>1.0000020789169788</v>
      </c>
      <c r="K109" s="630">
        <f t="shared" si="7"/>
        <v>0</v>
      </c>
      <c r="L109" s="630">
        <f t="shared" si="0"/>
        <v>0</v>
      </c>
      <c r="M109" s="630">
        <f t="shared" si="8"/>
        <v>0</v>
      </c>
      <c r="N109" s="851"/>
      <c r="O109" s="623">
        <f>'FORMATO PROPUESTA ECONÓMICA'!E134</f>
        <v>0</v>
      </c>
      <c r="P109" s="629">
        <f>IF(ISERROR(+N109*O109),"",+N109*O109)</f>
        <v>0</v>
      </c>
      <c r="Q109" s="755"/>
      <c r="R109" s="755"/>
    </row>
    <row r="110" spans="2:19" x14ac:dyDescent="0.25">
      <c r="B110" s="750" t="str">
        <f>+'[3]1. Colector Principal'!C53</f>
        <v>Pilotes de madera Inmunizada Ø=0.15</v>
      </c>
      <c r="C110" s="752" t="e">
        <f>'FORMATO PROPUESTA ECONÓMICA'!#REF!</f>
        <v>#REF!</v>
      </c>
      <c r="D110" s="756"/>
      <c r="E110" s="634">
        <f>'FORMATO PROPUESTA ECONÓMICA'!A135</f>
        <v>11.2</v>
      </c>
      <c r="F110" s="633" t="s">
        <v>104</v>
      </c>
      <c r="G110" s="628" t="s">
        <v>15</v>
      </c>
      <c r="H110" s="629">
        <f>IF(ISERROR(VLOOKUP($D110,[4]Ppto!$A$3:$F$100,4,)),0,VLOOKUP($D110,[4]Ppto!$A$3:$F$100,4,))</f>
        <v>0</v>
      </c>
      <c r="I110" s="630">
        <f>IF(ISERROR(VLOOKUP($D110,[4]Ppto!$A$3:$F$100,5,)),0,VLOOKUP($D110,[4]Ppto!$A$3:$F$100,5,))</f>
        <v>0</v>
      </c>
      <c r="J110" s="631">
        <v>1.0000000000000002</v>
      </c>
      <c r="K110" s="630">
        <f t="shared" si="7"/>
        <v>0</v>
      </c>
      <c r="L110" s="630">
        <f t="shared" si="0"/>
        <v>0</v>
      </c>
      <c r="M110" s="630">
        <f t="shared" si="8"/>
        <v>0</v>
      </c>
      <c r="N110" s="847">
        <f>150*0.6*0.2</f>
        <v>18</v>
      </c>
      <c r="O110" s="623">
        <f>'FORMATO PROPUESTA ECONÓMICA'!E135</f>
        <v>0</v>
      </c>
      <c r="P110" s="629">
        <f>IF(ISERROR(+N110*O110),"",+N110*O110)</f>
        <v>0</v>
      </c>
      <c r="Q110" s="755"/>
      <c r="R110" s="755"/>
    </row>
    <row r="111" spans="2:19" ht="60" x14ac:dyDescent="0.25">
      <c r="B111" s="750"/>
      <c r="C111" s="752" t="e">
        <f>'FORMATO PROPUESTA ECONÓMICA'!#REF!</f>
        <v>#REF!</v>
      </c>
      <c r="D111" s="753"/>
      <c r="E111" s="634">
        <f>'FORMATO PROPUESTA ECONÓMICA'!A136</f>
        <v>11.3</v>
      </c>
      <c r="F111" s="633" t="s">
        <v>105</v>
      </c>
      <c r="G111" s="628" t="s">
        <v>15</v>
      </c>
      <c r="H111" s="629"/>
      <c r="I111" s="630"/>
      <c r="J111" s="631"/>
      <c r="K111" s="630"/>
      <c r="L111" s="630"/>
      <c r="M111" s="630"/>
      <c r="N111" s="851">
        <f>N110</f>
        <v>18</v>
      </c>
      <c r="O111" s="623">
        <f>'FORMATO PROPUESTA ECONÓMICA'!E136</f>
        <v>0</v>
      </c>
      <c r="P111" s="629">
        <f>IF(ISERROR(+N111*O111),"",+N111*O111)</f>
        <v>0</v>
      </c>
      <c r="Q111" s="755"/>
      <c r="R111" s="755"/>
      <c r="S111" s="755"/>
    </row>
    <row r="112" spans="2:19" ht="45" hidden="1" x14ac:dyDescent="0.25">
      <c r="B112" s="750"/>
      <c r="C112" s="752" t="e">
        <f>'FORMATO PROPUESTA ECONÓMICA'!#REF!</f>
        <v>#REF!</v>
      </c>
      <c r="D112" s="753"/>
      <c r="E112" s="634">
        <f>'FORMATO PROPUESTA ECONÓMICA'!A137</f>
        <v>11.4</v>
      </c>
      <c r="F112" s="633" t="s">
        <v>106</v>
      </c>
      <c r="G112" s="628" t="s">
        <v>15</v>
      </c>
      <c r="H112" s="629">
        <f>IF(ISERROR(VLOOKUP($D112,[4]Ppto!$A$3:$F$100,4,)),0,VLOOKUP($D112,[4]Ppto!$A$3:$F$100,4,))</f>
        <v>0</v>
      </c>
      <c r="I112" s="630">
        <f>IF(ISERROR(VLOOKUP($D112,[4]Ppto!$A$3:$F$100,5,)),0,VLOOKUP($D112,[4]Ppto!$A$3:$F$100,5,))</f>
        <v>0</v>
      </c>
      <c r="J112" s="631">
        <v>0.99996823491225251</v>
      </c>
      <c r="K112" s="630">
        <f>+I112-O112</f>
        <v>-926131.99</v>
      </c>
      <c r="L112" s="630">
        <f t="shared" ref="L112" si="10">+H112*I112</f>
        <v>0</v>
      </c>
      <c r="M112" s="630">
        <f>+L112-P112</f>
        <v>0</v>
      </c>
      <c r="N112" s="847"/>
      <c r="O112" s="629">
        <v>926131.99</v>
      </c>
      <c r="P112" s="629">
        <f>IF(ISERROR(+N112*O112),"",+N112*O112)</f>
        <v>0</v>
      </c>
      <c r="Q112" s="755"/>
      <c r="R112" s="755"/>
    </row>
    <row r="113" spans="2:18" hidden="1" x14ac:dyDescent="0.25">
      <c r="B113" s="750"/>
      <c r="C113" s="841"/>
      <c r="D113" s="758"/>
      <c r="E113" s="732">
        <f>'FORMATO PROPUESTA ECONÓMICA'!A138</f>
        <v>12</v>
      </c>
      <c r="F113" s="45" t="s">
        <v>350</v>
      </c>
      <c r="G113" s="44"/>
      <c r="H113" s="39"/>
      <c r="I113" s="40"/>
      <c r="J113" s="41"/>
      <c r="K113" s="40"/>
      <c r="L113" s="40"/>
      <c r="M113" s="40"/>
      <c r="N113" s="848"/>
      <c r="O113" s="39"/>
      <c r="P113" s="39"/>
      <c r="Q113" s="755"/>
      <c r="R113" s="755"/>
    </row>
    <row r="114" spans="2:18" hidden="1" x14ac:dyDescent="0.25">
      <c r="B114" s="750" t="str">
        <f>+'[3]1. Colector Principal'!C54</f>
        <v>Elaboración y Colocación de Concreto 2500 PSI para anclajes (incluye formaletería y Clavos)</v>
      </c>
      <c r="C114" s="752" t="e">
        <f>'FORMATO PROPUESTA ECONÓMICA'!#REF!</f>
        <v>#REF!</v>
      </c>
      <c r="D114" s="756"/>
      <c r="E114" s="634">
        <f>'FORMATO PROPUESTA ECONÓMICA'!A139</f>
        <v>12.1</v>
      </c>
      <c r="F114" s="627" t="s">
        <v>351</v>
      </c>
      <c r="G114" s="628" t="s">
        <v>79</v>
      </c>
      <c r="H114" s="629">
        <v>118716.25</v>
      </c>
      <c r="I114" s="630"/>
      <c r="J114" s="631"/>
      <c r="K114" s="630"/>
      <c r="L114" s="630"/>
      <c r="M114" s="630"/>
      <c r="N114" s="859">
        <v>14</v>
      </c>
      <c r="O114" s="629"/>
      <c r="P114" s="629">
        <f>IF(ISERROR(+N114*O114),"",+N114*O114)</f>
        <v>0</v>
      </c>
      <c r="Q114" s="755"/>
      <c r="R114" s="755"/>
    </row>
    <row r="115" spans="2:18" x14ac:dyDescent="0.25">
      <c r="B115" s="750">
        <f>+'[3]1. Colector Principal'!C64</f>
        <v>0</v>
      </c>
      <c r="C115" s="841" t="e">
        <f>'FORMATO PROPUESTA ECONÓMICA'!#REF!</f>
        <v>#REF!</v>
      </c>
      <c r="D115" s="758"/>
      <c r="E115" s="732"/>
      <c r="F115" s="43" t="s">
        <v>18</v>
      </c>
      <c r="G115" s="44"/>
      <c r="H115" s="44"/>
      <c r="I115" s="44"/>
      <c r="J115" s="44"/>
      <c r="K115" s="44"/>
      <c r="L115" s="44"/>
      <c r="M115" s="44"/>
      <c r="N115" s="44"/>
      <c r="O115" s="39"/>
      <c r="P115" s="39">
        <f>SUM(P11:P114)</f>
        <v>0</v>
      </c>
      <c r="Q115" s="755"/>
      <c r="R115" s="755"/>
    </row>
    <row r="116" spans="2:18" ht="30" x14ac:dyDescent="0.25">
      <c r="B116" s="750" t="str">
        <f>+'[3]1. Colector Principal'!C65</f>
        <v>Suministro e Instalaciób  de tubería de PE para Acueducto PE 100 PN 6 RDE 26,(incluye nivelación)  en los siguientes diámetros nominales:</v>
      </c>
      <c r="C116" s="841" t="e">
        <f>'FORMATO PROPUESTA ECONÓMICA'!#REF!</f>
        <v>#REF!</v>
      </c>
      <c r="D116" s="758"/>
      <c r="E116" s="732" t="e">
        <f>'FORMATO PROPUESTA ECONÓMICA'!#REF!</f>
        <v>#REF!</v>
      </c>
      <c r="F116" s="43" t="s">
        <v>367</v>
      </c>
      <c r="G116" s="44"/>
      <c r="H116" s="39">
        <f>IF(ISERROR(VLOOKUP($D116,[4]Ppto!$A$3:$F$100,4,)),0,VLOOKUP($D116,[4]Ppto!$A$3:$F$100,4,))</f>
        <v>0</v>
      </c>
      <c r="I116" s="40">
        <f>IF(ISERROR(VLOOKUP($D116,[4]Ppto!$A$3:$F$100,5,)),0,VLOOKUP($D116,[4]Ppto!$A$3:$F$100,5,))</f>
        <v>0</v>
      </c>
      <c r="J116" s="41">
        <v>1</v>
      </c>
      <c r="K116" s="40">
        <f>+I116-O116</f>
        <v>0</v>
      </c>
      <c r="L116" s="40">
        <f t="shared" ref="L116" si="11">+H116*I116</f>
        <v>0</v>
      </c>
      <c r="M116" s="40">
        <f>+L116-P116</f>
        <v>0</v>
      </c>
      <c r="N116" s="39"/>
      <c r="O116" s="39"/>
      <c r="P116" s="39"/>
      <c r="Q116" s="755"/>
      <c r="R116" s="755"/>
    </row>
    <row r="117" spans="2:18" hidden="1" x14ac:dyDescent="0.25">
      <c r="B117" s="750"/>
      <c r="C117" s="752" t="e">
        <f>'FORMATO PROPUESTA ECONÓMICA'!#REF!</f>
        <v>#REF!</v>
      </c>
      <c r="D117" s="756"/>
      <c r="E117" s="634" t="e">
        <f>'FORMATO PROPUESTA ECONÓMICA'!#REF!</f>
        <v>#REF!</v>
      </c>
      <c r="F117" s="633" t="s">
        <v>368</v>
      </c>
      <c r="G117" s="643" t="str">
        <f>G35</f>
        <v>ml</v>
      </c>
      <c r="H117" s="643">
        <f t="shared" ref="H117:N117" si="12">H35</f>
        <v>0</v>
      </c>
      <c r="I117" s="643">
        <f t="shared" si="12"/>
        <v>0</v>
      </c>
      <c r="J117" s="643">
        <f t="shared" si="12"/>
        <v>1.0000083683818088</v>
      </c>
      <c r="K117" s="643" t="e">
        <f t="shared" si="12"/>
        <v>#REF!</v>
      </c>
      <c r="L117" s="643">
        <f t="shared" si="12"/>
        <v>0</v>
      </c>
      <c r="M117" s="643">
        <f t="shared" si="12"/>
        <v>0</v>
      </c>
      <c r="N117" s="643">
        <f t="shared" si="12"/>
        <v>0</v>
      </c>
      <c r="O117" s="629">
        <v>10208</v>
      </c>
      <c r="P117" s="629">
        <f t="shared" ref="P117:P143" si="13">IF(ISERROR(+N117*O117),"",+N117*O117)</f>
        <v>0</v>
      </c>
      <c r="Q117" s="755"/>
      <c r="R117" s="755"/>
    </row>
    <row r="118" spans="2:18" x14ac:dyDescent="0.25">
      <c r="B118" s="750" t="str">
        <f>+'[3]2.Secundarias B_Obrero'!C52</f>
        <v>Tubería PE Øint. 184.6mm</v>
      </c>
      <c r="C118" s="752" t="e">
        <f>'FORMATO PROPUESTA ECONÓMICA'!#REF!</f>
        <v>#REF!</v>
      </c>
      <c r="D118" s="756"/>
      <c r="E118" s="634" t="e">
        <f>'FORMATO PROPUESTA ECONÓMICA'!#REF!</f>
        <v>#REF!</v>
      </c>
      <c r="F118" s="633" t="s">
        <v>404</v>
      </c>
      <c r="G118" s="643" t="str">
        <f t="shared" ref="G118:N118" si="14">G36</f>
        <v>ml</v>
      </c>
      <c r="H118" s="643">
        <f t="shared" si="14"/>
        <v>0</v>
      </c>
      <c r="I118" s="643">
        <f t="shared" si="14"/>
        <v>0</v>
      </c>
      <c r="J118" s="643">
        <f t="shared" si="14"/>
        <v>0.99995852949508546</v>
      </c>
      <c r="K118" s="643">
        <f t="shared" si="14"/>
        <v>0</v>
      </c>
      <c r="L118" s="643">
        <f t="shared" si="14"/>
        <v>0</v>
      </c>
      <c r="M118" s="643">
        <f t="shared" si="14"/>
        <v>0</v>
      </c>
      <c r="N118" s="643">
        <f t="shared" si="14"/>
        <v>942.1</v>
      </c>
      <c r="O118" s="629">
        <v>13708</v>
      </c>
      <c r="P118" s="629">
        <f t="shared" si="13"/>
        <v>12914306.800000001</v>
      </c>
      <c r="Q118" s="755"/>
      <c r="R118" s="755"/>
    </row>
    <row r="119" spans="2:18" hidden="1" x14ac:dyDescent="0.25">
      <c r="B119" s="750" t="str">
        <f>+'[3]1. Colector Principal'!C66</f>
        <v>Tubería PE Øint. 230.8mm</v>
      </c>
      <c r="C119" s="752" t="e">
        <f>'FORMATO PROPUESTA ECONÓMICA'!#REF!</f>
        <v>#REF!</v>
      </c>
      <c r="D119" s="756"/>
      <c r="E119" s="634" t="e">
        <f>'FORMATO PROPUESTA ECONÓMICA'!#REF!</f>
        <v>#REF!</v>
      </c>
      <c r="F119" s="633" t="s">
        <v>405</v>
      </c>
      <c r="G119" s="643" t="str">
        <f t="shared" ref="G119:N119" si="15">G37</f>
        <v>ml</v>
      </c>
      <c r="H119" s="643">
        <f t="shared" si="15"/>
        <v>0</v>
      </c>
      <c r="I119" s="643">
        <f t="shared" si="15"/>
        <v>0</v>
      </c>
      <c r="J119" s="643">
        <f t="shared" si="15"/>
        <v>0</v>
      </c>
      <c r="K119" s="643">
        <f t="shared" si="15"/>
        <v>0</v>
      </c>
      <c r="L119" s="643">
        <f t="shared" si="15"/>
        <v>0</v>
      </c>
      <c r="M119" s="643">
        <f t="shared" si="15"/>
        <v>0</v>
      </c>
      <c r="N119" s="643">
        <f t="shared" si="15"/>
        <v>0</v>
      </c>
      <c r="O119" s="629">
        <v>20240</v>
      </c>
      <c r="P119" s="629">
        <f t="shared" si="13"/>
        <v>0</v>
      </c>
      <c r="Q119" s="755"/>
      <c r="R119" s="755"/>
    </row>
    <row r="120" spans="2:18" hidden="1" x14ac:dyDescent="0.25">
      <c r="B120" s="750" t="str">
        <f>+'[3]1. Colector Principal'!C67</f>
        <v>Tubería PE Øint. 290.8mm</v>
      </c>
      <c r="C120" s="752" t="e">
        <f>'FORMATO PROPUESTA ECONÓMICA'!#REF!</f>
        <v>#REF!</v>
      </c>
      <c r="D120" s="756"/>
      <c r="E120" s="634" t="e">
        <f>'FORMATO PROPUESTA ECONÓMICA'!#REF!</f>
        <v>#REF!</v>
      </c>
      <c r="F120" s="633" t="s">
        <v>406</v>
      </c>
      <c r="G120" s="643" t="str">
        <f t="shared" ref="G120:N120" si="16">G38</f>
        <v>ml</v>
      </c>
      <c r="H120" s="643">
        <f t="shared" si="16"/>
        <v>0</v>
      </c>
      <c r="I120" s="643">
        <f t="shared" si="16"/>
        <v>0</v>
      </c>
      <c r="J120" s="643">
        <f t="shared" si="16"/>
        <v>0</v>
      </c>
      <c r="K120" s="643">
        <f t="shared" si="16"/>
        <v>0</v>
      </c>
      <c r="L120" s="643">
        <f t="shared" si="16"/>
        <v>0</v>
      </c>
      <c r="M120" s="643">
        <f t="shared" si="16"/>
        <v>0</v>
      </c>
      <c r="N120" s="643">
        <f t="shared" si="16"/>
        <v>0</v>
      </c>
      <c r="O120" s="629">
        <v>43240</v>
      </c>
      <c r="P120" s="629">
        <f t="shared" si="13"/>
        <v>0</v>
      </c>
      <c r="Q120" s="755"/>
      <c r="R120" s="755"/>
    </row>
    <row r="121" spans="2:18" hidden="1" x14ac:dyDescent="0.25">
      <c r="B121" s="750"/>
      <c r="C121" s="752" t="e">
        <f>'FORMATO PROPUESTA ECONÓMICA'!#REF!</f>
        <v>#REF!</v>
      </c>
      <c r="D121" s="756"/>
      <c r="E121" s="634" t="e">
        <f>'FORMATO PROPUESTA ECONÓMICA'!#REF!</f>
        <v>#REF!</v>
      </c>
      <c r="F121" s="633" t="s">
        <v>407</v>
      </c>
      <c r="G121" s="643" t="str">
        <f t="shared" ref="G121:N121" si="17">G39</f>
        <v>ml</v>
      </c>
      <c r="H121" s="643">
        <f t="shared" si="17"/>
        <v>0</v>
      </c>
      <c r="I121" s="643">
        <f t="shared" si="17"/>
        <v>0</v>
      </c>
      <c r="J121" s="643">
        <f t="shared" si="17"/>
        <v>1</v>
      </c>
      <c r="K121" s="643">
        <f t="shared" si="17"/>
        <v>0</v>
      </c>
      <c r="L121" s="643">
        <f t="shared" si="17"/>
        <v>0</v>
      </c>
      <c r="M121" s="643">
        <f t="shared" si="17"/>
        <v>0</v>
      </c>
      <c r="N121" s="643">
        <f t="shared" si="17"/>
        <v>0</v>
      </c>
      <c r="O121" s="629">
        <v>97199</v>
      </c>
      <c r="P121" s="629">
        <f t="shared" si="13"/>
        <v>0</v>
      </c>
      <c r="Q121" s="755"/>
      <c r="R121" s="755"/>
    </row>
    <row r="122" spans="2:18" hidden="1" x14ac:dyDescent="0.25">
      <c r="B122" s="750"/>
      <c r="C122" s="752" t="e">
        <f>'FORMATO PROPUESTA ECONÓMICA'!#REF!</f>
        <v>#REF!</v>
      </c>
      <c r="D122" s="756"/>
      <c r="E122" s="634" t="e">
        <f>'FORMATO PROPUESTA ECONÓMICA'!#REF!</f>
        <v>#REF!</v>
      </c>
      <c r="F122" s="633" t="s">
        <v>379</v>
      </c>
      <c r="G122" s="643" t="str">
        <f t="shared" ref="G122:N122" si="18">G40</f>
        <v>und</v>
      </c>
      <c r="H122" s="643">
        <f t="shared" si="18"/>
        <v>0</v>
      </c>
      <c r="I122" s="643">
        <f t="shared" si="18"/>
        <v>0</v>
      </c>
      <c r="J122" s="643">
        <f t="shared" si="18"/>
        <v>0</v>
      </c>
      <c r="K122" s="643">
        <f t="shared" si="18"/>
        <v>0</v>
      </c>
      <c r="L122" s="643">
        <f t="shared" si="18"/>
        <v>0</v>
      </c>
      <c r="M122" s="643">
        <f t="shared" si="18"/>
        <v>0</v>
      </c>
      <c r="N122" s="643">
        <f t="shared" si="18"/>
        <v>0</v>
      </c>
      <c r="O122" s="629">
        <v>39195</v>
      </c>
      <c r="P122" s="629">
        <f t="shared" si="13"/>
        <v>0</v>
      </c>
      <c r="Q122" s="755"/>
      <c r="R122" s="755"/>
    </row>
    <row r="123" spans="2:18" x14ac:dyDescent="0.25">
      <c r="B123" s="750"/>
      <c r="C123" s="752" t="e">
        <f>'FORMATO PROPUESTA ECONÓMICA'!#REF!</f>
        <v>#REF!</v>
      </c>
      <c r="D123" s="756"/>
      <c r="E123" s="634" t="e">
        <f>'FORMATO PROPUESTA ECONÓMICA'!#REF!</f>
        <v>#REF!</v>
      </c>
      <c r="F123" s="633" t="s">
        <v>380</v>
      </c>
      <c r="G123" s="643" t="str">
        <f t="shared" ref="G123:N123" si="19">G41</f>
        <v>und</v>
      </c>
      <c r="H123" s="643">
        <f t="shared" si="19"/>
        <v>0</v>
      </c>
      <c r="I123" s="643">
        <f t="shared" si="19"/>
        <v>0</v>
      </c>
      <c r="J123" s="643">
        <f t="shared" si="19"/>
        <v>0</v>
      </c>
      <c r="K123" s="643">
        <f t="shared" si="19"/>
        <v>0</v>
      </c>
      <c r="L123" s="643">
        <f t="shared" si="19"/>
        <v>0</v>
      </c>
      <c r="M123" s="643">
        <f t="shared" si="19"/>
        <v>0</v>
      </c>
      <c r="N123" s="643">
        <f t="shared" si="19"/>
        <v>13</v>
      </c>
      <c r="O123" s="629">
        <v>47749</v>
      </c>
      <c r="P123" s="629">
        <f t="shared" si="13"/>
        <v>620737</v>
      </c>
      <c r="Q123" s="755"/>
      <c r="R123" s="755"/>
    </row>
    <row r="124" spans="2:18" hidden="1" x14ac:dyDescent="0.25">
      <c r="B124" s="750"/>
      <c r="C124" s="752" t="e">
        <f>'FORMATO PROPUESTA ECONÓMICA'!#REF!</f>
        <v>#REF!</v>
      </c>
      <c r="D124" s="756"/>
      <c r="E124" s="634" t="e">
        <f>'FORMATO PROPUESTA ECONÓMICA'!#REF!</f>
        <v>#REF!</v>
      </c>
      <c r="F124" s="633" t="s">
        <v>408</v>
      </c>
      <c r="G124" s="643" t="str">
        <f t="shared" ref="G124:N124" si="20">G42</f>
        <v>und</v>
      </c>
      <c r="H124" s="643">
        <f t="shared" si="20"/>
        <v>0</v>
      </c>
      <c r="I124" s="643">
        <f t="shared" si="20"/>
        <v>0</v>
      </c>
      <c r="J124" s="643">
        <f t="shared" si="20"/>
        <v>0</v>
      </c>
      <c r="K124" s="643">
        <f t="shared" si="20"/>
        <v>0</v>
      </c>
      <c r="L124" s="643">
        <f t="shared" si="20"/>
        <v>0</v>
      </c>
      <c r="M124" s="643">
        <f t="shared" si="20"/>
        <v>0</v>
      </c>
      <c r="N124" s="643">
        <f t="shared" si="20"/>
        <v>0</v>
      </c>
      <c r="O124" s="629">
        <v>64172</v>
      </c>
      <c r="P124" s="629">
        <f t="shared" si="13"/>
        <v>0</v>
      </c>
      <c r="Q124" s="755"/>
      <c r="R124" s="755"/>
    </row>
    <row r="125" spans="2:18" hidden="1" x14ac:dyDescent="0.25">
      <c r="B125" s="750"/>
      <c r="C125" s="752" t="e">
        <f>'FORMATO PROPUESTA ECONÓMICA'!#REF!</f>
        <v>#REF!</v>
      </c>
      <c r="D125" s="756"/>
      <c r="E125" s="634" t="e">
        <f>'FORMATO PROPUESTA ECONÓMICA'!#REF!</f>
        <v>#REF!</v>
      </c>
      <c r="F125" s="633" t="s">
        <v>409</v>
      </c>
      <c r="G125" s="643" t="str">
        <f t="shared" ref="G125:N125" si="21">G43</f>
        <v>und</v>
      </c>
      <c r="H125" s="643">
        <f t="shared" si="21"/>
        <v>0</v>
      </c>
      <c r="I125" s="643">
        <f t="shared" si="21"/>
        <v>0</v>
      </c>
      <c r="J125" s="643">
        <f t="shared" si="21"/>
        <v>0</v>
      </c>
      <c r="K125" s="643">
        <f t="shared" si="21"/>
        <v>0</v>
      </c>
      <c r="L125" s="643">
        <f t="shared" si="21"/>
        <v>0</v>
      </c>
      <c r="M125" s="643">
        <f t="shared" si="21"/>
        <v>0</v>
      </c>
      <c r="N125" s="643">
        <f t="shared" si="21"/>
        <v>0</v>
      </c>
      <c r="O125" s="629">
        <v>244662</v>
      </c>
      <c r="P125" s="629">
        <f t="shared" si="13"/>
        <v>0</v>
      </c>
      <c r="Q125" s="755"/>
      <c r="R125" s="755"/>
    </row>
    <row r="126" spans="2:18" hidden="1" x14ac:dyDescent="0.25">
      <c r="B126" s="750"/>
      <c r="C126" s="752" t="e">
        <f>'FORMATO PROPUESTA ECONÓMICA'!#REF!</f>
        <v>#REF!</v>
      </c>
      <c r="D126" s="756"/>
      <c r="E126" s="634" t="e">
        <f>'FORMATO PROPUESTA ECONÓMICA'!#REF!</f>
        <v>#REF!</v>
      </c>
      <c r="F126" s="633" t="s">
        <v>410</v>
      </c>
      <c r="G126" s="643" t="str">
        <f t="shared" ref="G126:N126" si="22">G44</f>
        <v>und</v>
      </c>
      <c r="H126" s="643">
        <f t="shared" si="22"/>
        <v>0</v>
      </c>
      <c r="I126" s="643">
        <f t="shared" si="22"/>
        <v>0</v>
      </c>
      <c r="J126" s="643">
        <f t="shared" si="22"/>
        <v>0</v>
      </c>
      <c r="K126" s="643">
        <f t="shared" si="22"/>
        <v>0</v>
      </c>
      <c r="L126" s="643">
        <f t="shared" si="22"/>
        <v>0</v>
      </c>
      <c r="M126" s="643">
        <f t="shared" si="22"/>
        <v>0</v>
      </c>
      <c r="N126" s="643">
        <f t="shared" si="22"/>
        <v>0</v>
      </c>
      <c r="O126" s="629">
        <v>414183</v>
      </c>
      <c r="P126" s="629">
        <f t="shared" si="13"/>
        <v>0</v>
      </c>
      <c r="Q126" s="755"/>
      <c r="R126" s="755"/>
    </row>
    <row r="127" spans="2:18" hidden="1" x14ac:dyDescent="0.25">
      <c r="B127" s="750"/>
      <c r="C127" s="752" t="e">
        <f>'FORMATO PROPUESTA ECONÓMICA'!#REF!</f>
        <v>#REF!</v>
      </c>
      <c r="D127" s="756"/>
      <c r="E127" s="634" t="e">
        <f>'FORMATO PROPUESTA ECONÓMICA'!#REF!</f>
        <v>#REF!</v>
      </c>
      <c r="F127" s="633" t="s">
        <v>411</v>
      </c>
      <c r="G127" s="643" t="str">
        <f t="shared" ref="G127:N128" si="23">G46</f>
        <v>und</v>
      </c>
      <c r="H127" s="643">
        <f t="shared" si="23"/>
        <v>0</v>
      </c>
      <c r="I127" s="643">
        <f t="shared" si="23"/>
        <v>0</v>
      </c>
      <c r="J127" s="643">
        <f t="shared" si="23"/>
        <v>0</v>
      </c>
      <c r="K127" s="643">
        <f t="shared" si="23"/>
        <v>0</v>
      </c>
      <c r="L127" s="643">
        <f t="shared" si="23"/>
        <v>0</v>
      </c>
      <c r="M127" s="643">
        <f t="shared" si="23"/>
        <v>0</v>
      </c>
      <c r="N127" s="643">
        <f t="shared" si="23"/>
        <v>0</v>
      </c>
      <c r="O127" s="629">
        <v>64172</v>
      </c>
      <c r="P127" s="629">
        <f t="shared" si="13"/>
        <v>0</v>
      </c>
      <c r="Q127" s="755"/>
      <c r="R127" s="755"/>
    </row>
    <row r="128" spans="2:18" hidden="1" x14ac:dyDescent="0.25">
      <c r="B128" s="750"/>
      <c r="C128" s="752" t="e">
        <f>'FORMATO PROPUESTA ECONÓMICA'!#REF!</f>
        <v>#REF!</v>
      </c>
      <c r="D128" s="756"/>
      <c r="E128" s="634" t="e">
        <f>'FORMATO PROPUESTA ECONÓMICA'!#REF!</f>
        <v>#REF!</v>
      </c>
      <c r="F128" s="633" t="s">
        <v>446</v>
      </c>
      <c r="G128" s="643" t="str">
        <f t="shared" si="23"/>
        <v>und</v>
      </c>
      <c r="H128" s="643">
        <f t="shared" si="23"/>
        <v>0</v>
      </c>
      <c r="I128" s="643">
        <f t="shared" si="23"/>
        <v>0</v>
      </c>
      <c r="J128" s="643">
        <f t="shared" si="23"/>
        <v>0</v>
      </c>
      <c r="K128" s="643">
        <f t="shared" si="23"/>
        <v>0</v>
      </c>
      <c r="L128" s="643">
        <f t="shared" si="23"/>
        <v>0</v>
      </c>
      <c r="M128" s="643">
        <f t="shared" si="23"/>
        <v>0</v>
      </c>
      <c r="N128" s="643">
        <f t="shared" si="23"/>
        <v>0</v>
      </c>
      <c r="O128" s="629">
        <v>64173</v>
      </c>
      <c r="P128" s="629">
        <f t="shared" si="13"/>
        <v>0</v>
      </c>
      <c r="Q128" s="755"/>
      <c r="R128" s="755"/>
    </row>
    <row r="129" spans="2:18" hidden="1" x14ac:dyDescent="0.25">
      <c r="B129" s="750"/>
      <c r="C129" s="752" t="e">
        <f>'FORMATO PROPUESTA ECONÓMICA'!#REF!</f>
        <v>#REF!</v>
      </c>
      <c r="D129" s="756"/>
      <c r="E129" s="634" t="e">
        <f>'FORMATO PROPUESTA ECONÓMICA'!#REF!</f>
        <v>#REF!</v>
      </c>
      <c r="F129" s="633" t="s">
        <v>412</v>
      </c>
      <c r="G129" s="643" t="str">
        <f t="shared" ref="G129:N129" si="24">G47</f>
        <v>und</v>
      </c>
      <c r="H129" s="643">
        <f t="shared" si="24"/>
        <v>0</v>
      </c>
      <c r="I129" s="643">
        <f t="shared" si="24"/>
        <v>0</v>
      </c>
      <c r="J129" s="643">
        <f t="shared" si="24"/>
        <v>0</v>
      </c>
      <c r="K129" s="643">
        <f t="shared" si="24"/>
        <v>0</v>
      </c>
      <c r="L129" s="643">
        <f t="shared" si="24"/>
        <v>0</v>
      </c>
      <c r="M129" s="643">
        <f t="shared" si="24"/>
        <v>0</v>
      </c>
      <c r="N129" s="643">
        <f t="shared" si="24"/>
        <v>0</v>
      </c>
      <c r="O129" s="629">
        <v>39195</v>
      </c>
      <c r="P129" s="629">
        <f t="shared" si="13"/>
        <v>0</v>
      </c>
      <c r="Q129" s="755"/>
      <c r="R129" s="755"/>
    </row>
    <row r="130" spans="2:18" hidden="1" x14ac:dyDescent="0.25">
      <c r="B130" s="750"/>
      <c r="C130" s="752" t="e">
        <f>'FORMATO PROPUESTA ECONÓMICA'!#REF!</f>
        <v>#REF!</v>
      </c>
      <c r="D130" s="756"/>
      <c r="E130" s="634" t="e">
        <f>'FORMATO PROPUESTA ECONÓMICA'!#REF!</f>
        <v>#REF!</v>
      </c>
      <c r="F130" s="633" t="s">
        <v>413</v>
      </c>
      <c r="G130" s="643" t="str">
        <f t="shared" ref="G130:N130" si="25">G48</f>
        <v>und</v>
      </c>
      <c r="H130" s="643">
        <f t="shared" si="25"/>
        <v>0</v>
      </c>
      <c r="I130" s="643">
        <f t="shared" si="25"/>
        <v>0</v>
      </c>
      <c r="J130" s="643">
        <f t="shared" si="25"/>
        <v>0</v>
      </c>
      <c r="K130" s="643">
        <f t="shared" si="25"/>
        <v>0</v>
      </c>
      <c r="L130" s="643">
        <f t="shared" si="25"/>
        <v>0</v>
      </c>
      <c r="M130" s="643">
        <f t="shared" si="25"/>
        <v>0</v>
      </c>
      <c r="N130" s="643">
        <f t="shared" si="25"/>
        <v>0</v>
      </c>
      <c r="O130" s="629">
        <v>35639</v>
      </c>
      <c r="P130" s="629">
        <f t="shared" si="13"/>
        <v>0</v>
      </c>
      <c r="Q130" s="755"/>
      <c r="R130" s="755"/>
    </row>
    <row r="131" spans="2:18" hidden="1" x14ac:dyDescent="0.25">
      <c r="B131" s="750"/>
      <c r="C131" s="752" t="e">
        <f>'FORMATO PROPUESTA ECONÓMICA'!#REF!</f>
        <v>#REF!</v>
      </c>
      <c r="D131" s="756"/>
      <c r="E131" s="634" t="e">
        <f>'FORMATO PROPUESTA ECONÓMICA'!#REF!</f>
        <v>#REF!</v>
      </c>
      <c r="F131" s="633" t="s">
        <v>414</v>
      </c>
      <c r="G131" s="643" t="str">
        <f t="shared" ref="G131:N131" si="26">G49</f>
        <v>und</v>
      </c>
      <c r="H131" s="643">
        <f t="shared" si="26"/>
        <v>0</v>
      </c>
      <c r="I131" s="643">
        <f t="shared" si="26"/>
        <v>0</v>
      </c>
      <c r="J131" s="643">
        <f t="shared" si="26"/>
        <v>0</v>
      </c>
      <c r="K131" s="643">
        <f t="shared" si="26"/>
        <v>0</v>
      </c>
      <c r="L131" s="643">
        <f t="shared" si="26"/>
        <v>0</v>
      </c>
      <c r="M131" s="643">
        <f t="shared" si="26"/>
        <v>0</v>
      </c>
      <c r="N131" s="643">
        <f t="shared" si="26"/>
        <v>0</v>
      </c>
      <c r="O131" s="629">
        <v>38236</v>
      </c>
      <c r="P131" s="629">
        <f t="shared" si="13"/>
        <v>0</v>
      </c>
      <c r="Q131" s="755"/>
      <c r="R131" s="755"/>
    </row>
    <row r="132" spans="2:18" hidden="1" x14ac:dyDescent="0.25">
      <c r="B132" s="750"/>
      <c r="C132" s="752" t="e">
        <f>'FORMATO PROPUESTA ECONÓMICA'!#REF!</f>
        <v>#REF!</v>
      </c>
      <c r="D132" s="756"/>
      <c r="E132" s="634" t="e">
        <f>'FORMATO PROPUESTA ECONÓMICA'!#REF!</f>
        <v>#REF!</v>
      </c>
      <c r="F132" s="633" t="s">
        <v>415</v>
      </c>
      <c r="G132" s="643" t="str">
        <f t="shared" ref="G132:N132" si="27">G50</f>
        <v>und</v>
      </c>
      <c r="H132" s="643">
        <f t="shared" si="27"/>
        <v>0</v>
      </c>
      <c r="I132" s="643">
        <f t="shared" si="27"/>
        <v>0</v>
      </c>
      <c r="J132" s="643">
        <f t="shared" si="27"/>
        <v>0</v>
      </c>
      <c r="K132" s="643">
        <f t="shared" si="27"/>
        <v>0</v>
      </c>
      <c r="L132" s="643">
        <f t="shared" si="27"/>
        <v>0</v>
      </c>
      <c r="M132" s="643">
        <f t="shared" si="27"/>
        <v>0</v>
      </c>
      <c r="N132" s="643">
        <f t="shared" si="27"/>
        <v>0</v>
      </c>
      <c r="O132" s="629">
        <v>46509</v>
      </c>
      <c r="P132" s="629">
        <f t="shared" si="13"/>
        <v>0</v>
      </c>
      <c r="Q132" s="755"/>
      <c r="R132" s="755"/>
    </row>
    <row r="133" spans="2:18" hidden="1" x14ac:dyDescent="0.25">
      <c r="B133" s="750"/>
      <c r="C133" s="752" t="e">
        <f>'FORMATO PROPUESTA ECONÓMICA'!#REF!</f>
        <v>#REF!</v>
      </c>
      <c r="D133" s="756"/>
      <c r="E133" s="634" t="e">
        <f>'FORMATO PROPUESTA ECONÓMICA'!#REF!</f>
        <v>#REF!</v>
      </c>
      <c r="F133" s="633" t="s">
        <v>416</v>
      </c>
      <c r="G133" s="643" t="str">
        <f t="shared" ref="G133:N133" si="28">G51</f>
        <v>und</v>
      </c>
      <c r="H133" s="643">
        <f t="shared" si="28"/>
        <v>0</v>
      </c>
      <c r="I133" s="643">
        <f t="shared" si="28"/>
        <v>0</v>
      </c>
      <c r="J133" s="643">
        <f t="shared" si="28"/>
        <v>0</v>
      </c>
      <c r="K133" s="643">
        <f t="shared" si="28"/>
        <v>0</v>
      </c>
      <c r="L133" s="643">
        <f t="shared" si="28"/>
        <v>0</v>
      </c>
      <c r="M133" s="643">
        <f t="shared" si="28"/>
        <v>0</v>
      </c>
      <c r="N133" s="643">
        <f t="shared" si="28"/>
        <v>0</v>
      </c>
      <c r="O133" s="629">
        <v>35277.919999999998</v>
      </c>
      <c r="P133" s="629">
        <f t="shared" si="13"/>
        <v>0</v>
      </c>
      <c r="Q133" s="755"/>
      <c r="R133" s="755"/>
    </row>
    <row r="134" spans="2:18" hidden="1" x14ac:dyDescent="0.25">
      <c r="B134" s="750"/>
      <c r="C134" s="752" t="e">
        <f>'FORMATO PROPUESTA ECONÓMICA'!#REF!</f>
        <v>#REF!</v>
      </c>
      <c r="D134" s="756"/>
      <c r="E134" s="634" t="e">
        <f>'FORMATO PROPUESTA ECONÓMICA'!#REF!</f>
        <v>#REF!</v>
      </c>
      <c r="F134" s="633" t="s">
        <v>417</v>
      </c>
      <c r="G134" s="643" t="str">
        <f t="shared" ref="G134:N134" si="29">G52</f>
        <v>und</v>
      </c>
      <c r="H134" s="643">
        <f t="shared" si="29"/>
        <v>0</v>
      </c>
      <c r="I134" s="643">
        <f t="shared" si="29"/>
        <v>0</v>
      </c>
      <c r="J134" s="643">
        <f t="shared" si="29"/>
        <v>0</v>
      </c>
      <c r="K134" s="643">
        <f t="shared" si="29"/>
        <v>0</v>
      </c>
      <c r="L134" s="643">
        <f t="shared" si="29"/>
        <v>0</v>
      </c>
      <c r="M134" s="643">
        <f t="shared" si="29"/>
        <v>0</v>
      </c>
      <c r="N134" s="643">
        <f t="shared" si="29"/>
        <v>0</v>
      </c>
      <c r="O134" s="629">
        <v>37681</v>
      </c>
      <c r="P134" s="629">
        <f t="shared" si="13"/>
        <v>0</v>
      </c>
      <c r="Q134" s="755"/>
      <c r="R134" s="755"/>
    </row>
    <row r="135" spans="2:18" hidden="1" x14ac:dyDescent="0.25">
      <c r="B135" s="750"/>
      <c r="C135" s="752" t="e">
        <f>'FORMATO PROPUESTA ECONÓMICA'!#REF!</f>
        <v>#REF!</v>
      </c>
      <c r="D135" s="756"/>
      <c r="E135" s="634" t="e">
        <f>'FORMATO PROPUESTA ECONÓMICA'!#REF!</f>
        <v>#REF!</v>
      </c>
      <c r="F135" s="633" t="s">
        <v>393</v>
      </c>
      <c r="G135" s="643" t="str">
        <f t="shared" ref="G135:N135" si="30">G53</f>
        <v>und</v>
      </c>
      <c r="H135" s="643">
        <f t="shared" si="30"/>
        <v>0</v>
      </c>
      <c r="I135" s="643">
        <f t="shared" si="30"/>
        <v>0</v>
      </c>
      <c r="J135" s="643">
        <f t="shared" si="30"/>
        <v>0</v>
      </c>
      <c r="K135" s="643">
        <f t="shared" si="30"/>
        <v>0</v>
      </c>
      <c r="L135" s="643">
        <f t="shared" si="30"/>
        <v>0</v>
      </c>
      <c r="M135" s="643">
        <f t="shared" si="30"/>
        <v>0</v>
      </c>
      <c r="N135" s="643">
        <f t="shared" si="30"/>
        <v>0</v>
      </c>
      <c r="O135" s="629">
        <v>39675</v>
      </c>
      <c r="P135" s="629">
        <f t="shared" si="13"/>
        <v>0</v>
      </c>
      <c r="Q135" s="755"/>
      <c r="R135" s="755"/>
    </row>
    <row r="136" spans="2:18" hidden="1" x14ac:dyDescent="0.25">
      <c r="B136" s="750"/>
      <c r="C136" s="752" t="e">
        <f>'FORMATO PROPUESTA ECONÓMICA'!#REF!</f>
        <v>#REF!</v>
      </c>
      <c r="D136" s="756"/>
      <c r="E136" s="634" t="e">
        <f>'FORMATO PROPUESTA ECONÓMICA'!#REF!</f>
        <v>#REF!</v>
      </c>
      <c r="F136" s="633" t="s">
        <v>394</v>
      </c>
      <c r="G136" s="643" t="str">
        <f t="shared" ref="G136:N136" si="31">G54</f>
        <v>und</v>
      </c>
      <c r="H136" s="643">
        <f t="shared" si="31"/>
        <v>0</v>
      </c>
      <c r="I136" s="643">
        <f t="shared" si="31"/>
        <v>0</v>
      </c>
      <c r="J136" s="643">
        <f t="shared" si="31"/>
        <v>0</v>
      </c>
      <c r="K136" s="643">
        <f t="shared" si="31"/>
        <v>0</v>
      </c>
      <c r="L136" s="643">
        <f t="shared" si="31"/>
        <v>0</v>
      </c>
      <c r="M136" s="643">
        <f t="shared" si="31"/>
        <v>0</v>
      </c>
      <c r="N136" s="643">
        <f t="shared" si="31"/>
        <v>0</v>
      </c>
      <c r="O136" s="629">
        <v>50625</v>
      </c>
      <c r="P136" s="629">
        <f t="shared" si="13"/>
        <v>0</v>
      </c>
      <c r="Q136" s="755"/>
      <c r="R136" s="755"/>
    </row>
    <row r="137" spans="2:18" hidden="1" x14ac:dyDescent="0.25">
      <c r="B137" s="750"/>
      <c r="C137" s="752" t="e">
        <f>'FORMATO PROPUESTA ECONÓMICA'!#REF!</f>
        <v>#REF!</v>
      </c>
      <c r="D137" s="756"/>
      <c r="E137" s="634" t="e">
        <f>'FORMATO PROPUESTA ECONÓMICA'!#REF!</f>
        <v>#REF!</v>
      </c>
      <c r="F137" s="633" t="s">
        <v>395</v>
      </c>
      <c r="G137" s="643" t="str">
        <f t="shared" ref="G137:N137" si="32">G55</f>
        <v>und</v>
      </c>
      <c r="H137" s="643">
        <f t="shared" si="32"/>
        <v>0</v>
      </c>
      <c r="I137" s="643">
        <f t="shared" si="32"/>
        <v>0</v>
      </c>
      <c r="J137" s="643">
        <f t="shared" si="32"/>
        <v>0</v>
      </c>
      <c r="K137" s="643">
        <f t="shared" si="32"/>
        <v>0</v>
      </c>
      <c r="L137" s="643">
        <f t="shared" si="32"/>
        <v>0</v>
      </c>
      <c r="M137" s="643">
        <f t="shared" si="32"/>
        <v>0</v>
      </c>
      <c r="N137" s="643">
        <f t="shared" si="32"/>
        <v>0</v>
      </c>
      <c r="O137" s="629">
        <v>134189</v>
      </c>
      <c r="P137" s="629">
        <f t="shared" si="13"/>
        <v>0</v>
      </c>
      <c r="Q137" s="755"/>
      <c r="R137" s="755"/>
    </row>
    <row r="138" spans="2:18" hidden="1" x14ac:dyDescent="0.25">
      <c r="B138" s="750"/>
      <c r="C138" s="752" t="e">
        <f>'FORMATO PROPUESTA ECONÓMICA'!#REF!</f>
        <v>#REF!</v>
      </c>
      <c r="D138" s="756"/>
      <c r="E138" s="634" t="e">
        <f>'FORMATO PROPUESTA ECONÓMICA'!#REF!</f>
        <v>#REF!</v>
      </c>
      <c r="F138" s="633" t="s">
        <v>396</v>
      </c>
      <c r="G138" s="643" t="str">
        <f t="shared" ref="G138:N138" si="33">G56</f>
        <v>und</v>
      </c>
      <c r="H138" s="643">
        <f t="shared" si="33"/>
        <v>0</v>
      </c>
      <c r="I138" s="643">
        <f t="shared" si="33"/>
        <v>0</v>
      </c>
      <c r="J138" s="643">
        <f t="shared" si="33"/>
        <v>0</v>
      </c>
      <c r="K138" s="643">
        <f t="shared" si="33"/>
        <v>0</v>
      </c>
      <c r="L138" s="643">
        <f t="shared" si="33"/>
        <v>0</v>
      </c>
      <c r="M138" s="643">
        <f t="shared" si="33"/>
        <v>0</v>
      </c>
      <c r="N138" s="643">
        <f t="shared" si="33"/>
        <v>0</v>
      </c>
      <c r="O138" s="629">
        <v>134189</v>
      </c>
      <c r="P138" s="629">
        <f t="shared" si="13"/>
        <v>0</v>
      </c>
      <c r="Q138" s="755"/>
      <c r="R138" s="755"/>
    </row>
    <row r="139" spans="2:18" hidden="1" x14ac:dyDescent="0.25">
      <c r="B139" s="750"/>
      <c r="C139" s="752" t="e">
        <f>'FORMATO PROPUESTA ECONÓMICA'!#REF!</f>
        <v>#REF!</v>
      </c>
      <c r="D139" s="756"/>
      <c r="E139" s="634" t="e">
        <f>'FORMATO PROPUESTA ECONÓMICA'!#REF!</f>
        <v>#REF!</v>
      </c>
      <c r="F139" s="633" t="s">
        <v>418</v>
      </c>
      <c r="G139" s="643" t="str">
        <f t="shared" ref="G139:N139" si="34">G57</f>
        <v>und</v>
      </c>
      <c r="H139" s="643">
        <f t="shared" si="34"/>
        <v>0</v>
      </c>
      <c r="I139" s="643">
        <f t="shared" si="34"/>
        <v>0</v>
      </c>
      <c r="J139" s="643">
        <f t="shared" si="34"/>
        <v>0</v>
      </c>
      <c r="K139" s="643">
        <f t="shared" si="34"/>
        <v>0</v>
      </c>
      <c r="L139" s="643">
        <f t="shared" si="34"/>
        <v>0</v>
      </c>
      <c r="M139" s="643">
        <f t="shared" si="34"/>
        <v>0</v>
      </c>
      <c r="N139" s="643">
        <f t="shared" si="34"/>
        <v>0</v>
      </c>
      <c r="O139" s="629">
        <v>29369</v>
      </c>
      <c r="P139" s="629">
        <f t="shared" si="13"/>
        <v>0</v>
      </c>
      <c r="Q139" s="755"/>
      <c r="R139" s="755"/>
    </row>
    <row r="140" spans="2:18" x14ac:dyDescent="0.25">
      <c r="B140" s="750"/>
      <c r="C140" s="752" t="e">
        <f>'FORMATO PROPUESTA ECONÓMICA'!#REF!</f>
        <v>#REF!</v>
      </c>
      <c r="D140" s="756"/>
      <c r="E140" s="634" t="e">
        <f>'FORMATO PROPUESTA ECONÓMICA'!#REF!</f>
        <v>#REF!</v>
      </c>
      <c r="F140" s="633" t="s">
        <v>419</v>
      </c>
      <c r="G140" s="643" t="str">
        <f t="shared" ref="G140:N140" si="35">G58</f>
        <v>und</v>
      </c>
      <c r="H140" s="643">
        <f t="shared" si="35"/>
        <v>0</v>
      </c>
      <c r="I140" s="643">
        <f t="shared" si="35"/>
        <v>0</v>
      </c>
      <c r="J140" s="643">
        <f t="shared" si="35"/>
        <v>0</v>
      </c>
      <c r="K140" s="643">
        <f t="shared" si="35"/>
        <v>0</v>
      </c>
      <c r="L140" s="643">
        <f t="shared" si="35"/>
        <v>0</v>
      </c>
      <c r="M140" s="643">
        <f t="shared" si="35"/>
        <v>0</v>
      </c>
      <c r="N140" s="643">
        <f t="shared" si="35"/>
        <v>12</v>
      </c>
      <c r="O140" s="629">
        <v>19705</v>
      </c>
      <c r="P140" s="629">
        <f t="shared" si="13"/>
        <v>236460</v>
      </c>
      <c r="Q140" s="755"/>
      <c r="R140" s="755"/>
    </row>
    <row r="141" spans="2:18" hidden="1" x14ac:dyDescent="0.25">
      <c r="B141" s="750"/>
      <c r="C141" s="752" t="e">
        <f>'FORMATO PROPUESTA ECONÓMICA'!#REF!</f>
        <v>#REF!</v>
      </c>
      <c r="D141" s="756"/>
      <c r="E141" s="634" t="e">
        <f>'FORMATO PROPUESTA ECONÓMICA'!#REF!</f>
        <v>#REF!</v>
      </c>
      <c r="F141" s="633" t="s">
        <v>420</v>
      </c>
      <c r="G141" s="643" t="str">
        <f t="shared" ref="G141:N141" si="36">G59</f>
        <v>und</v>
      </c>
      <c r="H141" s="643">
        <f t="shared" si="36"/>
        <v>0</v>
      </c>
      <c r="I141" s="643">
        <f t="shared" si="36"/>
        <v>0</v>
      </c>
      <c r="J141" s="643">
        <f t="shared" si="36"/>
        <v>0</v>
      </c>
      <c r="K141" s="643">
        <f t="shared" si="36"/>
        <v>0</v>
      </c>
      <c r="L141" s="643">
        <f t="shared" si="36"/>
        <v>0</v>
      </c>
      <c r="M141" s="643">
        <f t="shared" si="36"/>
        <v>0</v>
      </c>
      <c r="N141" s="643">
        <f t="shared" si="36"/>
        <v>0</v>
      </c>
      <c r="O141" s="629">
        <v>24443</v>
      </c>
      <c r="P141" s="629">
        <f t="shared" si="13"/>
        <v>0</v>
      </c>
      <c r="Q141" s="755"/>
      <c r="R141" s="755"/>
    </row>
    <row r="142" spans="2:18" hidden="1" x14ac:dyDescent="0.25">
      <c r="B142" s="750" t="str">
        <f>+'[3]4.Secundarias B_El Bosque'!C61</f>
        <v>Tubería PE Øint. 327.8mm</v>
      </c>
      <c r="C142" s="752" t="e">
        <f>'FORMATO PROPUESTA ECONÓMICA'!#REF!</f>
        <v>#REF!</v>
      </c>
      <c r="D142" s="756"/>
      <c r="E142" s="634" t="e">
        <f>'FORMATO PROPUESTA ECONÓMICA'!#REF!</f>
        <v>#REF!</v>
      </c>
      <c r="F142" s="633" t="s">
        <v>421</v>
      </c>
      <c r="G142" s="643" t="str">
        <f t="shared" ref="G142:N143" si="37">G60</f>
        <v>und</v>
      </c>
      <c r="H142" s="643">
        <f t="shared" si="37"/>
        <v>0</v>
      </c>
      <c r="I142" s="643">
        <f t="shared" si="37"/>
        <v>0</v>
      </c>
      <c r="J142" s="643">
        <f t="shared" si="37"/>
        <v>0</v>
      </c>
      <c r="K142" s="643">
        <f t="shared" si="37"/>
        <v>0</v>
      </c>
      <c r="L142" s="643">
        <f t="shared" si="37"/>
        <v>0</v>
      </c>
      <c r="M142" s="643">
        <f t="shared" si="37"/>
        <v>0</v>
      </c>
      <c r="N142" s="643">
        <f t="shared" si="37"/>
        <v>0</v>
      </c>
      <c r="O142" s="629">
        <v>56681</v>
      </c>
      <c r="P142" s="629">
        <f t="shared" si="13"/>
        <v>0</v>
      </c>
      <c r="Q142" s="755"/>
      <c r="R142" s="755"/>
    </row>
    <row r="143" spans="2:18" hidden="1" x14ac:dyDescent="0.25">
      <c r="B143" s="750" t="str">
        <f>+'[3]1. Colector Principal'!C68</f>
        <v>Tubería PE Øint. 415.6mm</v>
      </c>
      <c r="C143" s="752" t="e">
        <f>'FORMATO PROPUESTA ECONÓMICA'!#REF!</f>
        <v>#REF!</v>
      </c>
      <c r="D143" s="756"/>
      <c r="E143" s="634" t="e">
        <f>'FORMATO PROPUESTA ECONÓMICA'!#REF!</f>
        <v>#REF!</v>
      </c>
      <c r="F143" s="633" t="s">
        <v>422</v>
      </c>
      <c r="G143" s="643" t="str">
        <f>G61</f>
        <v>und</v>
      </c>
      <c r="H143" s="643">
        <f t="shared" si="37"/>
        <v>0</v>
      </c>
      <c r="I143" s="643">
        <f t="shared" si="37"/>
        <v>0</v>
      </c>
      <c r="J143" s="643">
        <f t="shared" si="37"/>
        <v>0</v>
      </c>
      <c r="K143" s="643">
        <f t="shared" si="37"/>
        <v>0</v>
      </c>
      <c r="L143" s="643">
        <f t="shared" si="37"/>
        <v>0</v>
      </c>
      <c r="M143" s="643">
        <f t="shared" si="37"/>
        <v>0</v>
      </c>
      <c r="N143" s="643">
        <f t="shared" si="37"/>
        <v>0</v>
      </c>
      <c r="O143" s="629">
        <v>110957</v>
      </c>
      <c r="P143" s="629">
        <f t="shared" si="13"/>
        <v>0</v>
      </c>
      <c r="Q143" s="755"/>
      <c r="R143" s="755"/>
    </row>
    <row r="144" spans="2:18" ht="30" x14ac:dyDescent="0.25">
      <c r="B144" s="750" t="str">
        <f>+'[3]5.Domiciliarias Colector La Yuq'!C35</f>
        <v>Suministro, transporte y colocacion de kit domiciliario en PE, incluye empaque, codo de 45° y espigo, en los siguientes diametros:</v>
      </c>
      <c r="C144" s="841" t="e">
        <f>'FORMATO PROPUESTA ECONÓMICA'!#REF!</f>
        <v>#REF!</v>
      </c>
      <c r="D144" s="758"/>
      <c r="E144" s="732" t="e">
        <f>'FORMATO PROPUESTA ECONÓMICA'!#REF!</f>
        <v>#REF!</v>
      </c>
      <c r="F144" s="43" t="s">
        <v>423</v>
      </c>
      <c r="G144" s="44"/>
      <c r="H144" s="39"/>
      <c r="I144" s="40"/>
      <c r="J144" s="41"/>
      <c r="K144" s="40"/>
      <c r="L144" s="40"/>
      <c r="M144" s="40"/>
      <c r="N144" s="39"/>
      <c r="O144" s="39"/>
      <c r="P144" s="39"/>
      <c r="Q144" s="755"/>
      <c r="R144" s="755"/>
    </row>
    <row r="145" spans="2:18" ht="30" x14ac:dyDescent="0.25">
      <c r="B145" s="750" t="str">
        <f>+'[3]6.Domiciliarias B_Obrero'!C33</f>
        <v>184.6 mm x 147.7 mm</v>
      </c>
      <c r="C145" s="752" t="e">
        <f>'FORMATO PROPUESTA ECONÓMICA'!#REF!</f>
        <v>#REF!</v>
      </c>
      <c r="D145" s="756"/>
      <c r="E145" s="634" t="e">
        <f>'FORMATO PROPUESTA ECONÓMICA'!#REF!</f>
        <v>#REF!</v>
      </c>
      <c r="F145" s="633" t="s">
        <v>402</v>
      </c>
      <c r="G145" s="628" t="str">
        <f>G65</f>
        <v>ml</v>
      </c>
      <c r="H145" s="628">
        <f t="shared" ref="H145:N145" si="38">H65</f>
        <v>0</v>
      </c>
      <c r="I145" s="628">
        <f t="shared" si="38"/>
        <v>0</v>
      </c>
      <c r="J145" s="628">
        <f t="shared" si="38"/>
        <v>1.0000004147351824</v>
      </c>
      <c r="K145" s="628">
        <f t="shared" si="38"/>
        <v>0</v>
      </c>
      <c r="L145" s="628">
        <f t="shared" si="38"/>
        <v>0</v>
      </c>
      <c r="M145" s="628">
        <f t="shared" si="38"/>
        <v>0</v>
      </c>
      <c r="N145" s="628">
        <f t="shared" si="38"/>
        <v>840</v>
      </c>
      <c r="O145" s="629">
        <v>2433.6799999999998</v>
      </c>
      <c r="P145" s="629">
        <f t="shared" ref="P145:P160" si="39">IF(ISERROR(+N145*O145),"",+N145*O145)</f>
        <v>2044291.2</v>
      </c>
      <c r="Q145" s="755"/>
      <c r="R145" s="755"/>
    </row>
    <row r="146" spans="2:18" ht="30" hidden="1" x14ac:dyDescent="0.25">
      <c r="B146" s="750" t="str">
        <f>+'[3]5.Domiciliarias Colector La Yuq'!C36</f>
        <v>230.8 mm x 147.7 mm</v>
      </c>
      <c r="C146" s="752" t="e">
        <f>'FORMATO PROPUESTA ECONÓMICA'!#REF!</f>
        <v>#REF!</v>
      </c>
      <c r="D146" s="756"/>
      <c r="E146" s="634" t="e">
        <f>'FORMATO PROPUESTA ECONÓMICA'!#REF!</f>
        <v>#REF!</v>
      </c>
      <c r="F146" s="633" t="s">
        <v>403</v>
      </c>
      <c r="G146" s="628" t="str">
        <f t="shared" ref="G146:N146" si="40">G66</f>
        <v>ml</v>
      </c>
      <c r="H146" s="628">
        <f t="shared" si="40"/>
        <v>0</v>
      </c>
      <c r="I146" s="628">
        <f t="shared" si="40"/>
        <v>0</v>
      </c>
      <c r="J146" s="628">
        <f t="shared" si="40"/>
        <v>0.99999988060184275</v>
      </c>
      <c r="K146" s="628">
        <f t="shared" si="40"/>
        <v>0</v>
      </c>
      <c r="L146" s="628">
        <f t="shared" si="40"/>
        <v>0</v>
      </c>
      <c r="M146" s="628">
        <f t="shared" si="40"/>
        <v>0</v>
      </c>
      <c r="N146" s="628">
        <f t="shared" si="40"/>
        <v>0</v>
      </c>
      <c r="O146" s="629">
        <v>3778.12</v>
      </c>
      <c r="P146" s="629">
        <f t="shared" si="39"/>
        <v>0</v>
      </c>
      <c r="Q146" s="755"/>
      <c r="R146" s="755"/>
    </row>
    <row r="147" spans="2:18" hidden="1" x14ac:dyDescent="0.25">
      <c r="B147" s="750" t="str">
        <f>+'[3]5.Domiciliarias Colector La Yuq'!C37</f>
        <v>290.8 mm x 147.7 mm</v>
      </c>
      <c r="C147" s="752" t="e">
        <f>'FORMATO PROPUESTA ECONÓMICA'!#REF!</f>
        <v>#REF!</v>
      </c>
      <c r="D147" s="756"/>
      <c r="E147" s="634" t="e">
        <f>'FORMATO PROPUESTA ECONÓMICA'!#REF!</f>
        <v>#REF!</v>
      </c>
      <c r="F147" s="633" t="s">
        <v>424</v>
      </c>
      <c r="G147" s="628" t="str">
        <f t="shared" ref="G147:N147" si="41">G67</f>
        <v>und</v>
      </c>
      <c r="H147" s="628">
        <f t="shared" si="41"/>
        <v>0</v>
      </c>
      <c r="I147" s="628">
        <f t="shared" si="41"/>
        <v>0</v>
      </c>
      <c r="J147" s="628">
        <f t="shared" si="41"/>
        <v>0</v>
      </c>
      <c r="K147" s="628">
        <f t="shared" si="41"/>
        <v>0</v>
      </c>
      <c r="L147" s="628">
        <f t="shared" si="41"/>
        <v>0</v>
      </c>
      <c r="M147" s="628">
        <f t="shared" si="41"/>
        <v>0</v>
      </c>
      <c r="N147" s="628">
        <f t="shared" si="41"/>
        <v>0</v>
      </c>
      <c r="O147" s="629">
        <v>14618</v>
      </c>
      <c r="P147" s="629">
        <f t="shared" si="39"/>
        <v>0</v>
      </c>
      <c r="Q147" s="755"/>
      <c r="R147" s="755"/>
    </row>
    <row r="148" spans="2:18" hidden="1" x14ac:dyDescent="0.25">
      <c r="B148" s="750" t="str">
        <f>+'[3]8.Domiciliarias B_El Bosque'!C37</f>
        <v>327.8 mm x 147.7 mm</v>
      </c>
      <c r="C148" s="752" t="e">
        <f>'FORMATO PROPUESTA ECONÓMICA'!#REF!</f>
        <v>#REF!</v>
      </c>
      <c r="D148" s="756"/>
      <c r="E148" s="634" t="e">
        <f>'FORMATO PROPUESTA ECONÓMICA'!#REF!</f>
        <v>#REF!</v>
      </c>
      <c r="F148" s="633" t="s">
        <v>426</v>
      </c>
      <c r="G148" s="628" t="str">
        <f t="shared" ref="G148:N148" si="42">G68</f>
        <v>und</v>
      </c>
      <c r="H148" s="628">
        <f t="shared" si="42"/>
        <v>0</v>
      </c>
      <c r="I148" s="628">
        <f t="shared" si="42"/>
        <v>0</v>
      </c>
      <c r="J148" s="628">
        <f t="shared" si="42"/>
        <v>0</v>
      </c>
      <c r="K148" s="628">
        <f t="shared" si="42"/>
        <v>0</v>
      </c>
      <c r="L148" s="628">
        <f t="shared" si="42"/>
        <v>0</v>
      </c>
      <c r="M148" s="628">
        <f t="shared" si="42"/>
        <v>0</v>
      </c>
      <c r="N148" s="628">
        <f t="shared" si="42"/>
        <v>0</v>
      </c>
      <c r="O148" s="629">
        <v>14618</v>
      </c>
      <c r="P148" s="629">
        <f t="shared" si="39"/>
        <v>0</v>
      </c>
      <c r="Q148" s="755"/>
      <c r="R148" s="755"/>
    </row>
    <row r="149" spans="2:18" x14ac:dyDescent="0.25">
      <c r="B149" s="750"/>
      <c r="C149" s="752" t="e">
        <f>'FORMATO PROPUESTA ECONÓMICA'!#REF!</f>
        <v>#REF!</v>
      </c>
      <c r="D149" s="756"/>
      <c r="E149" s="634" t="e">
        <f>'FORMATO PROPUESTA ECONÓMICA'!#REF!</f>
        <v>#REF!</v>
      </c>
      <c r="F149" s="633" t="s">
        <v>425</v>
      </c>
      <c r="G149" s="628" t="str">
        <f t="shared" ref="G149:N149" si="43">G69</f>
        <v>und</v>
      </c>
      <c r="H149" s="628">
        <f t="shared" si="43"/>
        <v>0</v>
      </c>
      <c r="I149" s="628">
        <f t="shared" si="43"/>
        <v>0</v>
      </c>
      <c r="J149" s="628">
        <f t="shared" si="43"/>
        <v>0</v>
      </c>
      <c r="K149" s="628">
        <f t="shared" si="43"/>
        <v>0</v>
      </c>
      <c r="L149" s="628">
        <f t="shared" si="43"/>
        <v>0</v>
      </c>
      <c r="M149" s="628">
        <f t="shared" si="43"/>
        <v>0</v>
      </c>
      <c r="N149" s="628">
        <f t="shared" si="43"/>
        <v>140</v>
      </c>
      <c r="O149" s="629">
        <v>14618</v>
      </c>
      <c r="P149" s="629">
        <f t="shared" si="39"/>
        <v>2046520</v>
      </c>
      <c r="Q149" s="755"/>
      <c r="R149" s="755"/>
    </row>
    <row r="150" spans="2:18" hidden="1" x14ac:dyDescent="0.25">
      <c r="B150" s="750"/>
      <c r="C150" s="752" t="e">
        <f>'FORMATO PROPUESTA ECONÓMICA'!#REF!</f>
        <v>#REF!</v>
      </c>
      <c r="D150" s="756"/>
      <c r="E150" s="634" t="e">
        <f>'FORMATO PROPUESTA ECONÓMICA'!#REF!</f>
        <v>#REF!</v>
      </c>
      <c r="F150" s="633" t="s">
        <v>427</v>
      </c>
      <c r="G150" s="628" t="str">
        <f t="shared" ref="G150:N150" si="44">G70</f>
        <v>und</v>
      </c>
      <c r="H150" s="628">
        <f t="shared" si="44"/>
        <v>0</v>
      </c>
      <c r="I150" s="628">
        <f t="shared" si="44"/>
        <v>0</v>
      </c>
      <c r="J150" s="628">
        <f t="shared" si="44"/>
        <v>0</v>
      </c>
      <c r="K150" s="628">
        <f t="shared" si="44"/>
        <v>0</v>
      </c>
      <c r="L150" s="628">
        <f t="shared" si="44"/>
        <v>0</v>
      </c>
      <c r="M150" s="628">
        <f t="shared" si="44"/>
        <v>0</v>
      </c>
      <c r="N150" s="628">
        <f t="shared" si="44"/>
        <v>0</v>
      </c>
      <c r="O150" s="629">
        <v>14618</v>
      </c>
      <c r="P150" s="629">
        <f t="shared" si="39"/>
        <v>0</v>
      </c>
      <c r="Q150" s="755"/>
      <c r="R150" s="755"/>
    </row>
    <row r="151" spans="2:18" hidden="1" x14ac:dyDescent="0.25">
      <c r="B151" s="750"/>
      <c r="C151" s="752" t="e">
        <f>'FORMATO PROPUESTA ECONÓMICA'!#REF!</f>
        <v>#REF!</v>
      </c>
      <c r="D151" s="756"/>
      <c r="E151" s="634" t="e">
        <f>'FORMATO PROPUESTA ECONÓMICA'!#REF!</f>
        <v>#REF!</v>
      </c>
      <c r="F151" s="633" t="s">
        <v>428</v>
      </c>
      <c r="G151" s="628" t="str">
        <f t="shared" ref="G151:N151" si="45">G71</f>
        <v>und</v>
      </c>
      <c r="H151" s="628">
        <f t="shared" si="45"/>
        <v>0</v>
      </c>
      <c r="I151" s="628">
        <f t="shared" si="45"/>
        <v>0</v>
      </c>
      <c r="J151" s="628">
        <f t="shared" si="45"/>
        <v>0</v>
      </c>
      <c r="K151" s="628">
        <f t="shared" si="45"/>
        <v>0</v>
      </c>
      <c r="L151" s="628">
        <f t="shared" si="45"/>
        <v>0</v>
      </c>
      <c r="M151" s="628">
        <f t="shared" si="45"/>
        <v>0</v>
      </c>
      <c r="N151" s="628">
        <f t="shared" si="45"/>
        <v>0</v>
      </c>
      <c r="O151" s="629">
        <v>14618</v>
      </c>
      <c r="P151" s="629">
        <f t="shared" si="39"/>
        <v>0</v>
      </c>
      <c r="Q151" s="755"/>
      <c r="R151" s="755"/>
    </row>
    <row r="152" spans="2:18" x14ac:dyDescent="0.25">
      <c r="B152" s="750"/>
      <c r="C152" s="752" t="e">
        <f>'FORMATO PROPUESTA ECONÓMICA'!#REF!</f>
        <v>#REF!</v>
      </c>
      <c r="D152" s="756"/>
      <c r="E152" s="634" t="e">
        <f>'FORMATO PROPUESTA ECONÓMICA'!#REF!</f>
        <v>#REF!</v>
      </c>
      <c r="F152" s="633" t="s">
        <v>479</v>
      </c>
      <c r="G152" s="628" t="str">
        <f t="shared" ref="G152:M154" si="46">G72</f>
        <v>und</v>
      </c>
      <c r="H152" s="628">
        <f t="shared" si="46"/>
        <v>0</v>
      </c>
      <c r="I152" s="628">
        <f t="shared" si="46"/>
        <v>0</v>
      </c>
      <c r="J152" s="628">
        <f t="shared" si="46"/>
        <v>0</v>
      </c>
      <c r="K152" s="628">
        <f t="shared" si="46"/>
        <v>0</v>
      </c>
      <c r="L152" s="628">
        <f t="shared" si="46"/>
        <v>0</v>
      </c>
      <c r="M152" s="628">
        <f t="shared" si="46"/>
        <v>0</v>
      </c>
      <c r="N152" s="628">
        <f>N72/2</f>
        <v>70</v>
      </c>
      <c r="O152" s="629">
        <v>3996</v>
      </c>
      <c r="P152" s="629">
        <f t="shared" si="39"/>
        <v>279720</v>
      </c>
      <c r="Q152" s="755"/>
      <c r="R152" s="755"/>
    </row>
    <row r="153" spans="2:18" hidden="1" x14ac:dyDescent="0.25">
      <c r="B153" s="750"/>
      <c r="C153" s="752" t="e">
        <f>'FORMATO PROPUESTA ECONÓMICA'!#REF!</f>
        <v>#REF!</v>
      </c>
      <c r="D153" s="756"/>
      <c r="E153" s="634" t="e">
        <f>'FORMATO PROPUESTA ECONÓMICA'!#REF!</f>
        <v>#REF!</v>
      </c>
      <c r="F153" s="633" t="s">
        <v>343</v>
      </c>
      <c r="G153" s="628" t="str">
        <f t="shared" ref="G153:N153" si="47">G73</f>
        <v>und</v>
      </c>
      <c r="H153" s="628">
        <f t="shared" si="47"/>
        <v>0</v>
      </c>
      <c r="I153" s="628">
        <f t="shared" si="47"/>
        <v>0</v>
      </c>
      <c r="J153" s="628">
        <f t="shared" si="47"/>
        <v>1</v>
      </c>
      <c r="K153" s="628">
        <f t="shared" si="47"/>
        <v>0</v>
      </c>
      <c r="L153" s="628">
        <f t="shared" si="47"/>
        <v>0</v>
      </c>
      <c r="M153" s="628">
        <f t="shared" si="47"/>
        <v>0</v>
      </c>
      <c r="N153" s="628">
        <f t="shared" si="47"/>
        <v>0</v>
      </c>
      <c r="O153" s="629">
        <v>5316</v>
      </c>
      <c r="P153" s="629">
        <f t="shared" si="39"/>
        <v>0</v>
      </c>
      <c r="Q153" s="755"/>
      <c r="R153" s="755"/>
    </row>
    <row r="154" spans="2:18" x14ac:dyDescent="0.25">
      <c r="B154" s="750"/>
      <c r="C154" s="752" t="e">
        <f>'FORMATO PROPUESTA ECONÓMICA'!#REF!</f>
        <v>#REF!</v>
      </c>
      <c r="D154" s="756"/>
      <c r="E154" s="634" t="e">
        <f>'FORMATO PROPUESTA ECONÓMICA'!#REF!</f>
        <v>#REF!</v>
      </c>
      <c r="F154" s="633" t="s">
        <v>478</v>
      </c>
      <c r="G154" s="628" t="str">
        <f t="shared" si="46"/>
        <v>und</v>
      </c>
      <c r="H154" s="628">
        <f t="shared" si="46"/>
        <v>0</v>
      </c>
      <c r="I154" s="628">
        <f t="shared" si="46"/>
        <v>0</v>
      </c>
      <c r="J154" s="628">
        <f t="shared" si="46"/>
        <v>1.0000039227956519</v>
      </c>
      <c r="K154" s="628">
        <f t="shared" si="46"/>
        <v>0</v>
      </c>
      <c r="L154" s="628">
        <f t="shared" si="46"/>
        <v>0</v>
      </c>
      <c r="M154" s="628">
        <f t="shared" si="46"/>
        <v>0</v>
      </c>
      <c r="N154" s="628">
        <f>N72/2</f>
        <v>70</v>
      </c>
      <c r="O154" s="629">
        <v>3996</v>
      </c>
      <c r="P154" s="629">
        <f t="shared" ref="P154" si="48">IF(ISERROR(+N154*O154),"",+N154*O154)</f>
        <v>279720</v>
      </c>
      <c r="Q154" s="755"/>
      <c r="R154" s="755"/>
    </row>
    <row r="155" spans="2:18" x14ac:dyDescent="0.25">
      <c r="B155" s="750"/>
      <c r="C155" s="752" t="e">
        <f>'FORMATO PROPUESTA ECONÓMICA'!#REF!</f>
        <v>#REF!</v>
      </c>
      <c r="D155" s="756"/>
      <c r="E155" s="620" t="e">
        <f>'FORMATO PROPUESTA ECONÓMICA'!#REF!</f>
        <v>#REF!</v>
      </c>
      <c r="F155" s="633" t="s">
        <v>344</v>
      </c>
      <c r="G155" s="628" t="str">
        <f t="shared" ref="G155:N155" si="49">G74</f>
        <v>und</v>
      </c>
      <c r="H155" s="628">
        <f t="shared" si="49"/>
        <v>0</v>
      </c>
      <c r="I155" s="628">
        <f t="shared" si="49"/>
        <v>0</v>
      </c>
      <c r="J155" s="628">
        <f t="shared" si="49"/>
        <v>1.0000039227956519</v>
      </c>
      <c r="K155" s="628">
        <f t="shared" si="49"/>
        <v>0</v>
      </c>
      <c r="L155" s="628">
        <f t="shared" si="49"/>
        <v>0</v>
      </c>
      <c r="M155" s="628">
        <f t="shared" si="49"/>
        <v>0</v>
      </c>
      <c r="N155" s="628">
        <f t="shared" si="49"/>
        <v>25</v>
      </c>
      <c r="O155" s="629">
        <v>3996</v>
      </c>
      <c r="P155" s="629">
        <f t="shared" si="39"/>
        <v>99900</v>
      </c>
      <c r="Q155" s="755"/>
      <c r="R155" s="755"/>
    </row>
    <row r="156" spans="2:18" x14ac:dyDescent="0.25">
      <c r="B156" s="750"/>
      <c r="C156" s="752" t="e">
        <f>'FORMATO PROPUESTA ECONÓMICA'!#REF!</f>
        <v>#REF!</v>
      </c>
      <c r="D156" s="756"/>
      <c r="E156" s="620" t="e">
        <f>'FORMATO PROPUESTA ECONÓMICA'!#REF!</f>
        <v>#REF!</v>
      </c>
      <c r="F156" s="633" t="s">
        <v>345</v>
      </c>
      <c r="G156" s="628" t="str">
        <f t="shared" ref="G156:N156" si="50">G75</f>
        <v>und</v>
      </c>
      <c r="H156" s="628">
        <f t="shared" si="50"/>
        <v>0</v>
      </c>
      <c r="I156" s="628">
        <f t="shared" si="50"/>
        <v>0</v>
      </c>
      <c r="J156" s="628">
        <f t="shared" si="50"/>
        <v>0.99999968892509594</v>
      </c>
      <c r="K156" s="628">
        <f t="shared" si="50"/>
        <v>0</v>
      </c>
      <c r="L156" s="628">
        <f t="shared" si="50"/>
        <v>0</v>
      </c>
      <c r="M156" s="628">
        <f t="shared" si="50"/>
        <v>0</v>
      </c>
      <c r="N156" s="628">
        <f t="shared" si="50"/>
        <v>84</v>
      </c>
      <c r="O156" s="629">
        <v>15225</v>
      </c>
      <c r="P156" s="629">
        <f t="shared" si="39"/>
        <v>1278900</v>
      </c>
      <c r="Q156" s="755"/>
      <c r="R156" s="755"/>
    </row>
    <row r="157" spans="2:18" ht="90" hidden="1" x14ac:dyDescent="0.25">
      <c r="B157" s="750"/>
      <c r="C157" s="752" t="e">
        <f>'FORMATO PROPUESTA ECONÓMICA'!#REF!</f>
        <v>#REF!</v>
      </c>
      <c r="D157" s="756"/>
      <c r="E157" s="620" t="e">
        <f>'FORMATO PROPUESTA ECONÓMICA'!#REF!</f>
        <v>#REF!</v>
      </c>
      <c r="F157" s="633" t="s">
        <v>353</v>
      </c>
      <c r="G157" s="628" t="str">
        <f t="shared" ref="G157:N157" si="51">G76</f>
        <v>und</v>
      </c>
      <c r="H157" s="628">
        <f t="shared" si="51"/>
        <v>0</v>
      </c>
      <c r="I157" s="628">
        <f t="shared" si="51"/>
        <v>0</v>
      </c>
      <c r="J157" s="628">
        <f t="shared" si="51"/>
        <v>1</v>
      </c>
      <c r="K157" s="628">
        <f t="shared" si="51"/>
        <v>0</v>
      </c>
      <c r="L157" s="628">
        <f t="shared" si="51"/>
        <v>0</v>
      </c>
      <c r="M157" s="628">
        <f t="shared" si="51"/>
        <v>0</v>
      </c>
      <c r="N157" s="628">
        <f t="shared" si="51"/>
        <v>84</v>
      </c>
      <c r="O157" s="623"/>
      <c r="P157" s="623">
        <f t="shared" si="39"/>
        <v>0</v>
      </c>
      <c r="Q157" s="755"/>
      <c r="R157" s="755"/>
    </row>
    <row r="158" spans="2:18" x14ac:dyDescent="0.25">
      <c r="B158" s="750"/>
      <c r="C158" s="752" t="e">
        <f>'FORMATO PROPUESTA ECONÓMICA'!#REF!</f>
        <v>#REF!</v>
      </c>
      <c r="D158" s="756"/>
      <c r="E158" s="620" t="e">
        <f>'FORMATO PROPUESTA ECONÓMICA'!#REF!</f>
        <v>#REF!</v>
      </c>
      <c r="F158" s="633" t="s">
        <v>346</v>
      </c>
      <c r="G158" s="628" t="str">
        <f>G77</f>
        <v>und</v>
      </c>
      <c r="H158" s="628">
        <f t="shared" ref="H158:N158" si="52">H77</f>
        <v>0</v>
      </c>
      <c r="I158" s="628">
        <f t="shared" si="52"/>
        <v>0</v>
      </c>
      <c r="J158" s="628">
        <f t="shared" si="52"/>
        <v>1</v>
      </c>
      <c r="K158" s="628">
        <f t="shared" si="52"/>
        <v>0</v>
      </c>
      <c r="L158" s="628">
        <f t="shared" si="52"/>
        <v>0</v>
      </c>
      <c r="M158" s="628">
        <f t="shared" si="52"/>
        <v>0</v>
      </c>
      <c r="N158" s="628">
        <f t="shared" si="52"/>
        <v>84</v>
      </c>
      <c r="O158" s="629">
        <v>7350</v>
      </c>
      <c r="P158" s="629">
        <f t="shared" si="39"/>
        <v>617400</v>
      </c>
      <c r="Q158" s="755"/>
      <c r="R158" s="755"/>
    </row>
    <row r="159" spans="2:18" x14ac:dyDescent="0.25">
      <c r="B159" s="750" t="str">
        <f>+'[3]5.Domiciliarias Colector La Yuq'!C38</f>
        <v>415.6 mm x 147.7 mm</v>
      </c>
      <c r="C159" s="752" t="e">
        <f>'FORMATO PROPUESTA ECONÓMICA'!#REF!</f>
        <v>#REF!</v>
      </c>
      <c r="D159" s="756"/>
      <c r="E159" s="620" t="e">
        <f>'FORMATO PROPUESTA ECONÓMICA'!#REF!</f>
        <v>#REF!</v>
      </c>
      <c r="F159" s="633" t="s">
        <v>347</v>
      </c>
      <c r="G159" s="628" t="str">
        <f t="shared" ref="G159:N159" si="53">G78</f>
        <v>und</v>
      </c>
      <c r="H159" s="628">
        <f t="shared" si="53"/>
        <v>0</v>
      </c>
      <c r="I159" s="628">
        <f t="shared" si="53"/>
        <v>0</v>
      </c>
      <c r="J159" s="628">
        <f t="shared" si="53"/>
        <v>0.99995051233937871</v>
      </c>
      <c r="K159" s="628">
        <f t="shared" si="53"/>
        <v>0</v>
      </c>
      <c r="L159" s="628">
        <f t="shared" si="53"/>
        <v>0</v>
      </c>
      <c r="M159" s="628">
        <f t="shared" si="53"/>
        <v>0</v>
      </c>
      <c r="N159" s="628">
        <f t="shared" si="53"/>
        <v>140</v>
      </c>
      <c r="O159" s="629">
        <v>394</v>
      </c>
      <c r="P159" s="629">
        <f t="shared" si="39"/>
        <v>55160</v>
      </c>
      <c r="Q159" s="755"/>
      <c r="R159" s="755"/>
    </row>
    <row r="160" spans="2:18" x14ac:dyDescent="0.25">
      <c r="B160" s="750" t="str">
        <f>+'[3]5.Domiciliarias Colector La Yuq'!C39</f>
        <v>461.8 mm x 147.7 mm</v>
      </c>
      <c r="C160" s="752" t="e">
        <f>'FORMATO PROPUESTA ECONÓMICA'!#REF!</f>
        <v>#REF!</v>
      </c>
      <c r="D160" s="756"/>
      <c r="E160" s="620" t="e">
        <f>'FORMATO PROPUESTA ECONÓMICA'!#REF!</f>
        <v>#REF!</v>
      </c>
      <c r="F160" s="633" t="s">
        <v>348</v>
      </c>
      <c r="G160" s="628" t="str">
        <f t="shared" ref="G160:N160" si="54">G79</f>
        <v>und</v>
      </c>
      <c r="H160" s="628">
        <f t="shared" si="54"/>
        <v>0</v>
      </c>
      <c r="I160" s="628">
        <f t="shared" si="54"/>
        <v>0</v>
      </c>
      <c r="J160" s="628">
        <f t="shared" si="54"/>
        <v>1</v>
      </c>
      <c r="K160" s="628">
        <f t="shared" si="54"/>
        <v>0</v>
      </c>
      <c r="L160" s="628">
        <f t="shared" si="54"/>
        <v>0</v>
      </c>
      <c r="M160" s="628">
        <f t="shared" si="54"/>
        <v>0</v>
      </c>
      <c r="N160" s="628">
        <f t="shared" si="54"/>
        <v>140</v>
      </c>
      <c r="O160" s="629">
        <v>616</v>
      </c>
      <c r="P160" s="629">
        <f t="shared" si="39"/>
        <v>86240</v>
      </c>
      <c r="Q160" s="755"/>
      <c r="R160" s="755"/>
    </row>
    <row r="161" spans="3:19" x14ac:dyDescent="0.25">
      <c r="C161" s="843"/>
      <c r="D161" s="844"/>
      <c r="E161" s="845"/>
      <c r="F161" s="845"/>
      <c r="G161" s="845"/>
      <c r="H161" s="845"/>
      <c r="I161" s="845"/>
      <c r="J161" s="845"/>
      <c r="K161" s="845"/>
      <c r="L161" s="845"/>
      <c r="M161" s="845"/>
      <c r="N161" s="845"/>
      <c r="O161" s="845"/>
      <c r="P161" s="845"/>
    </row>
    <row r="162" spans="3:19" ht="15.75" thickBot="1" x14ac:dyDescent="0.3">
      <c r="D162" s="781"/>
      <c r="G162" s="745"/>
      <c r="H162" s="745"/>
      <c r="I162" s="745"/>
      <c r="J162" s="745"/>
      <c r="K162" s="7" t="str">
        <f>+O162</f>
        <v>OBRA CIVIL</v>
      </c>
      <c r="L162" s="7" t="str">
        <f>+P162</f>
        <v>SUMINISTRO</v>
      </c>
      <c r="M162" s="745"/>
      <c r="N162" s="745"/>
      <c r="O162" s="7" t="str">
        <f>+F9</f>
        <v>OBRA CIVIL</v>
      </c>
      <c r="P162" s="7" t="str">
        <f>+F115</f>
        <v>SUMINISTRO</v>
      </c>
    </row>
    <row r="163" spans="3:19" x14ac:dyDescent="0.25">
      <c r="C163" s="782"/>
      <c r="D163" s="783"/>
      <c r="E163" s="783"/>
      <c r="F163" s="783" t="s">
        <v>19</v>
      </c>
      <c r="G163" s="783"/>
      <c r="H163" s="783"/>
      <c r="I163" s="783"/>
      <c r="J163" s="783"/>
      <c r="K163" s="784">
        <f>+SUM(L11:L114)</f>
        <v>0</v>
      </c>
      <c r="L163" s="784"/>
      <c r="M163" s="783"/>
      <c r="N163" s="783"/>
      <c r="O163" s="784">
        <f>+SUM(P11:P114)</f>
        <v>0</v>
      </c>
      <c r="P163" s="784"/>
    </row>
    <row r="164" spans="3:19" x14ac:dyDescent="0.25">
      <c r="C164" s="785"/>
      <c r="D164" s="786"/>
      <c r="E164" s="786"/>
      <c r="F164" s="786" t="s">
        <v>20</v>
      </c>
      <c r="G164" s="786"/>
      <c r="H164" s="786"/>
      <c r="I164" s="786"/>
      <c r="J164" s="786"/>
      <c r="K164" s="787"/>
      <c r="L164" s="787">
        <f>+SUM(L117:L160)</f>
        <v>0</v>
      </c>
      <c r="M164" s="786"/>
      <c r="N164" s="786"/>
      <c r="O164" s="787"/>
      <c r="P164" s="787">
        <f>+SUM(P117:P160)*1.16</f>
        <v>23848851.799999997</v>
      </c>
    </row>
    <row r="165" spans="3:19" x14ac:dyDescent="0.25">
      <c r="C165" s="785"/>
      <c r="D165" s="786"/>
      <c r="E165" s="786"/>
      <c r="F165" s="786" t="s">
        <v>21</v>
      </c>
      <c r="G165" s="786"/>
      <c r="H165" s="786"/>
      <c r="I165" s="786"/>
      <c r="J165" s="786"/>
      <c r="K165" s="788">
        <f>+K163</f>
        <v>0</v>
      </c>
      <c r="L165" s="788">
        <f>+L164</f>
        <v>0</v>
      </c>
      <c r="M165" s="786"/>
      <c r="N165" s="786"/>
      <c r="O165" s="788">
        <f>+O163</f>
        <v>0</v>
      </c>
      <c r="P165" s="788">
        <f>+P164</f>
        <v>23848851.799999997</v>
      </c>
    </row>
    <row r="166" spans="3:19" x14ac:dyDescent="0.25">
      <c r="C166" s="789"/>
      <c r="D166" s="790"/>
      <c r="E166" s="790"/>
      <c r="F166" s="791" t="s">
        <v>22</v>
      </c>
      <c r="G166" s="790"/>
      <c r="H166" s="790"/>
      <c r="I166" s="790"/>
      <c r="J166" s="790"/>
      <c r="K166" s="1427">
        <f>+L165+K165</f>
        <v>0</v>
      </c>
      <c r="L166" s="1427"/>
      <c r="M166" s="790"/>
      <c r="N166" s="790"/>
      <c r="O166" s="1427">
        <f>+P165+O165</f>
        <v>23848851.799999997</v>
      </c>
      <c r="P166" s="1427"/>
    </row>
    <row r="167" spans="3:19" x14ac:dyDescent="0.25">
      <c r="C167" s="792"/>
      <c r="D167" s="793"/>
      <c r="E167" s="793"/>
      <c r="F167" s="786" t="s">
        <v>337</v>
      </c>
      <c r="G167" s="793"/>
      <c r="H167" s="793"/>
      <c r="I167" s="793"/>
      <c r="J167" s="793"/>
      <c r="K167" s="787" t="e">
        <f>+K165*$N167</f>
        <v>#DIV/0!</v>
      </c>
      <c r="L167" s="787"/>
      <c r="M167" s="793"/>
      <c r="N167" s="793" t="e">
        <f>ROUND(AU!G70,2)</f>
        <v>#DIV/0!</v>
      </c>
      <c r="O167" s="787" t="e">
        <f>+O165*$N167</f>
        <v>#DIV/0!</v>
      </c>
      <c r="P167" s="787"/>
    </row>
    <row r="168" spans="3:19" x14ac:dyDescent="0.25">
      <c r="C168" s="792"/>
      <c r="D168" s="793"/>
      <c r="E168" s="793"/>
      <c r="F168" s="786" t="s">
        <v>338</v>
      </c>
      <c r="G168" s="793"/>
      <c r="H168" s="793"/>
      <c r="I168" s="793"/>
      <c r="J168" s="793"/>
      <c r="K168" s="787"/>
      <c r="L168" s="787">
        <f>+L165*$N168</f>
        <v>0</v>
      </c>
      <c r="M168" s="793"/>
      <c r="N168" s="793">
        <v>0.08</v>
      </c>
      <c r="O168" s="787"/>
      <c r="P168" s="787">
        <f>+P165*$N168</f>
        <v>1907908.1439999999</v>
      </c>
    </row>
    <row r="169" spans="3:19" x14ac:dyDescent="0.25">
      <c r="C169" s="789"/>
      <c r="D169" s="790"/>
      <c r="E169" s="790"/>
      <c r="F169" s="791" t="s">
        <v>23</v>
      </c>
      <c r="G169" s="790"/>
      <c r="H169" s="790"/>
      <c r="I169" s="790"/>
      <c r="J169" s="790"/>
      <c r="K169" s="1427" t="e">
        <f>+K167+L168</f>
        <v>#DIV/0!</v>
      </c>
      <c r="L169" s="1427"/>
      <c r="M169" s="790"/>
      <c r="N169" s="790"/>
      <c r="O169" s="1427" t="e">
        <f>+O167+P168</f>
        <v>#DIV/0!</v>
      </c>
      <c r="P169" s="1427"/>
      <c r="S169" s="755"/>
    </row>
    <row r="170" spans="3:19" x14ac:dyDescent="0.25">
      <c r="C170" s="792"/>
      <c r="D170" s="793"/>
      <c r="E170" s="793"/>
      <c r="F170" s="786" t="s">
        <v>24</v>
      </c>
      <c r="G170" s="793"/>
      <c r="H170" s="793"/>
      <c r="I170" s="793"/>
      <c r="J170" s="793"/>
      <c r="K170" s="788" t="e">
        <f>+K167+K165</f>
        <v>#DIV/0!</v>
      </c>
      <c r="L170" s="788">
        <f>+L168+L165</f>
        <v>0</v>
      </c>
      <c r="M170" s="793"/>
      <c r="N170" s="793"/>
      <c r="O170" s="788" t="e">
        <f>+O167+O165</f>
        <v>#DIV/0!</v>
      </c>
      <c r="P170" s="788">
        <f>+P168+P165</f>
        <v>25756759.943999998</v>
      </c>
    </row>
    <row r="171" spans="3:19" x14ac:dyDescent="0.25">
      <c r="C171" s="789"/>
      <c r="D171" s="790"/>
      <c r="E171" s="790"/>
      <c r="F171" s="791" t="s">
        <v>25</v>
      </c>
      <c r="G171" s="790"/>
      <c r="H171" s="790"/>
      <c r="I171" s="790"/>
      <c r="J171" s="790"/>
      <c r="K171" s="1427" t="e">
        <f>+K170+L170</f>
        <v>#DIV/0!</v>
      </c>
      <c r="L171" s="1427"/>
      <c r="M171" s="790"/>
      <c r="N171" s="790"/>
      <c r="O171" s="1427" t="e">
        <f>+O170+P170</f>
        <v>#DIV/0!</v>
      </c>
      <c r="P171" s="1427"/>
    </row>
    <row r="172" spans="3:19" x14ac:dyDescent="0.25">
      <c r="C172" s="792"/>
      <c r="D172" s="793"/>
      <c r="E172" s="793"/>
      <c r="F172" s="786" t="s">
        <v>40</v>
      </c>
      <c r="G172" s="793"/>
      <c r="H172" s="793"/>
      <c r="I172" s="793"/>
      <c r="J172" s="793"/>
      <c r="K172" s="787" t="e">
        <f>+K170*$N172</f>
        <v>#DIV/0!</v>
      </c>
      <c r="L172" s="787"/>
      <c r="M172" s="793"/>
      <c r="N172" s="793">
        <v>0.08</v>
      </c>
      <c r="O172" s="787" t="e">
        <f>+O170*$N172</f>
        <v>#DIV/0!</v>
      </c>
      <c r="P172" s="787"/>
    </row>
    <row r="173" spans="3:19" x14ac:dyDescent="0.25">
      <c r="C173" s="792"/>
      <c r="D173" s="793"/>
      <c r="E173" s="793"/>
      <c r="F173" s="786" t="s">
        <v>41</v>
      </c>
      <c r="G173" s="793"/>
      <c r="H173" s="793"/>
      <c r="I173" s="793"/>
      <c r="J173" s="793"/>
      <c r="K173" s="787"/>
      <c r="L173" s="787">
        <f>+L170*$N173</f>
        <v>0</v>
      </c>
      <c r="M173" s="793"/>
      <c r="N173" s="793">
        <v>0.02</v>
      </c>
      <c r="O173" s="787"/>
      <c r="P173" s="787">
        <f>+P170*$N173</f>
        <v>515135.19887999998</v>
      </c>
    </row>
    <row r="174" spans="3:19" x14ac:dyDescent="0.25">
      <c r="C174" s="789"/>
      <c r="D174" s="790"/>
      <c r="E174" s="790"/>
      <c r="F174" s="791" t="s">
        <v>26</v>
      </c>
      <c r="G174" s="790"/>
      <c r="H174" s="790"/>
      <c r="I174" s="790"/>
      <c r="J174" s="790"/>
      <c r="K174" s="1427" t="e">
        <f>+L173+K172</f>
        <v>#DIV/0!</v>
      </c>
      <c r="L174" s="1427"/>
      <c r="M174" s="790"/>
      <c r="N174" s="790"/>
      <c r="O174" s="1427" t="e">
        <f>+P173+O172</f>
        <v>#DIV/0!</v>
      </c>
      <c r="P174" s="1427"/>
    </row>
    <row r="175" spans="3:19" x14ac:dyDescent="0.25">
      <c r="C175" s="792"/>
      <c r="D175" s="793"/>
      <c r="E175" s="793"/>
      <c r="F175" s="794"/>
      <c r="G175" s="793"/>
      <c r="H175" s="793"/>
      <c r="I175" s="793"/>
      <c r="J175" s="793"/>
      <c r="K175" s="788" t="e">
        <f>+K172+K170</f>
        <v>#DIV/0!</v>
      </c>
      <c r="L175" s="788">
        <f>+L173+L170</f>
        <v>0</v>
      </c>
      <c r="M175" s="793"/>
      <c r="N175" s="793"/>
      <c r="O175" s="788" t="e">
        <f>+O172+O170</f>
        <v>#DIV/0!</v>
      </c>
      <c r="P175" s="788">
        <f>+P173+P170</f>
        <v>26271895.142879996</v>
      </c>
    </row>
    <row r="176" spans="3:19" x14ac:dyDescent="0.25">
      <c r="C176" s="789"/>
      <c r="D176" s="790"/>
      <c r="E176" s="790"/>
      <c r="F176" s="795" t="s">
        <v>27</v>
      </c>
      <c r="G176" s="790"/>
      <c r="H176" s="790"/>
      <c r="I176" s="790"/>
      <c r="J176" s="790"/>
      <c r="K176" s="1427" t="e">
        <f>+K175+L175</f>
        <v>#DIV/0!</v>
      </c>
      <c r="L176" s="1427"/>
      <c r="M176" s="790"/>
      <c r="N176" s="790"/>
      <c r="O176" s="1427" t="e">
        <f>+O175+P175</f>
        <v>#DIV/0!</v>
      </c>
      <c r="P176" s="1427"/>
    </row>
    <row r="177" spans="3:16" x14ac:dyDescent="0.25">
      <c r="C177" s="792"/>
      <c r="D177" s="793"/>
      <c r="E177" s="793"/>
      <c r="F177" s="786" t="s">
        <v>28</v>
      </c>
      <c r="G177" s="793"/>
      <c r="H177" s="793"/>
      <c r="I177" s="793"/>
      <c r="J177" s="793"/>
      <c r="K177" s="787" t="e">
        <f>+K175*$N177/(1-$N177)</f>
        <v>#DIV/0!</v>
      </c>
      <c r="L177" s="787"/>
      <c r="M177" s="793"/>
      <c r="N177" s="793">
        <v>0.02</v>
      </c>
      <c r="O177" s="787" t="e">
        <f>+O175*$N177/(1-$N177)</f>
        <v>#DIV/0!</v>
      </c>
      <c r="P177" s="787"/>
    </row>
    <row r="178" spans="3:16" x14ac:dyDescent="0.25">
      <c r="C178" s="792"/>
      <c r="D178" s="793"/>
      <c r="E178" s="793"/>
      <c r="F178" s="786"/>
      <c r="G178" s="793"/>
      <c r="H178" s="793"/>
      <c r="I178" s="793"/>
      <c r="J178" s="793"/>
      <c r="K178" s="787"/>
      <c r="L178" s="787">
        <f>+L175*$N178/(1-$N178)</f>
        <v>0</v>
      </c>
      <c r="M178" s="793"/>
      <c r="N178" s="793">
        <v>0.02</v>
      </c>
      <c r="O178" s="787"/>
      <c r="P178" s="787">
        <f>+P175*$N178/(1-$N178)</f>
        <v>536161.12536489789</v>
      </c>
    </row>
    <row r="179" spans="3:16" x14ac:dyDescent="0.25">
      <c r="C179" s="789"/>
      <c r="D179" s="790"/>
      <c r="E179" s="790"/>
      <c r="F179" s="791" t="s">
        <v>29</v>
      </c>
      <c r="G179" s="790"/>
      <c r="H179" s="790"/>
      <c r="I179" s="790"/>
      <c r="J179" s="790"/>
      <c r="K179" s="1427" t="e">
        <f>+K177+L178</f>
        <v>#DIV/0!</v>
      </c>
      <c r="L179" s="1427"/>
      <c r="M179" s="790"/>
      <c r="N179" s="790"/>
      <c r="O179" s="1427" t="e">
        <f>+O177+P178</f>
        <v>#DIV/0!</v>
      </c>
      <c r="P179" s="1427"/>
    </row>
    <row r="180" spans="3:16" x14ac:dyDescent="0.25">
      <c r="C180" s="792"/>
      <c r="D180" s="793"/>
      <c r="E180" s="793"/>
      <c r="F180" s="786" t="s">
        <v>30</v>
      </c>
      <c r="G180" s="793"/>
      <c r="H180" s="793"/>
      <c r="I180" s="793"/>
      <c r="J180" s="793"/>
      <c r="K180" s="788" t="e">
        <f>+K177+K175</f>
        <v>#DIV/0!</v>
      </c>
      <c r="L180" s="788">
        <f>+L178+L175</f>
        <v>0</v>
      </c>
      <c r="M180" s="793"/>
      <c r="N180" s="793"/>
      <c r="O180" s="788" t="e">
        <f>+O177+O175</f>
        <v>#DIV/0!</v>
      </c>
      <c r="P180" s="788">
        <f>+P178+P175</f>
        <v>26808056.268244896</v>
      </c>
    </row>
    <row r="181" spans="3:16" ht="15.75" thickBot="1" x14ac:dyDescent="0.3">
      <c r="C181" s="796"/>
      <c r="D181" s="797"/>
      <c r="E181" s="797"/>
      <c r="F181" s="798" t="s">
        <v>31</v>
      </c>
      <c r="G181" s="797"/>
      <c r="H181" s="797"/>
      <c r="I181" s="797"/>
      <c r="J181" s="797"/>
      <c r="K181" s="1429" t="e">
        <f>+K180+L180</f>
        <v>#DIV/0!</v>
      </c>
      <c r="L181" s="1429"/>
      <c r="M181" s="797"/>
      <c r="N181" s="797"/>
      <c r="O181" s="1429" t="e">
        <f>+O180+P180</f>
        <v>#DIV/0!</v>
      </c>
      <c r="P181" s="1429"/>
    </row>
  </sheetData>
  <mergeCells count="15">
    <mergeCell ref="K181:L181"/>
    <mergeCell ref="O181:P181"/>
    <mergeCell ref="K174:L174"/>
    <mergeCell ref="O174:P174"/>
    <mergeCell ref="K176:L176"/>
    <mergeCell ref="O176:P176"/>
    <mergeCell ref="K179:L179"/>
    <mergeCell ref="O179:P179"/>
    <mergeCell ref="K171:L171"/>
    <mergeCell ref="O171:P171"/>
    <mergeCell ref="C2:P3"/>
    <mergeCell ref="K166:L166"/>
    <mergeCell ref="O166:P166"/>
    <mergeCell ref="K169:L169"/>
    <mergeCell ref="O169:P16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4</vt:i4>
      </vt:variant>
    </vt:vector>
  </HeadingPairs>
  <TitlesOfParts>
    <vt:vector size="19" baseType="lpstr">
      <vt:lpstr>FORMATO PROPUESTA ECONÓMICA</vt:lpstr>
      <vt:lpstr>AU</vt:lpstr>
      <vt:lpstr>APUS</vt:lpstr>
      <vt:lpstr>cronograma</vt:lpstr>
      <vt:lpstr>Equipos</vt:lpstr>
      <vt:lpstr>MACRO MEDIDOR LA LUCILA</vt:lpstr>
      <vt:lpstr>MACROMEDIDOR CASANOVA</vt:lpstr>
      <vt:lpstr>2. Presp. Sector 11 ok</vt:lpstr>
      <vt:lpstr>3. Presup Sector 14 </vt:lpstr>
      <vt:lpstr>4. Presup. Sector 9</vt:lpstr>
      <vt:lpstr>5. Presup. Sector 4</vt:lpstr>
      <vt:lpstr>6. Presup. Sector 5</vt:lpstr>
      <vt:lpstr>7. Presup. Sector 3 </vt:lpstr>
      <vt:lpstr>8. Presup. Sector 10</vt:lpstr>
      <vt:lpstr>9. Presupu. Sector 13</vt:lpstr>
      <vt:lpstr>APUS!Área_de_impresión</vt:lpstr>
      <vt:lpstr>cronograma!Área_de_impresión</vt:lpstr>
      <vt:lpstr>'FORMATO PROPUESTA ECONÓMICA'!Área_de_impresión</vt:lpstr>
      <vt:lpstr>'FORMATO PROPUESTA ECONÓMICA'!Títulos_a_imprimir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2017-01-26T16:47:46Z</dcterms:modified>
</cp:coreProperties>
</file>